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iG4cB8cAqHZtBqhvPxrHfuOopOP+kPIYg/zs/dnZ72NxxsVYTvagwo2IGvBlcIlGEiG0D1HsBG+pxKkc43VPfg==" workbookSaltValue="/En/TORPKh4n1baASc0y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8" i="2"/>
  <c r="X22" i="16"/>
  <c r="X21" i="20"/>
  <c r="S16" i="17"/>
  <c r="AH14" i="16"/>
  <c r="S17" i="17"/>
  <c r="L16" i="2"/>
  <c r="L17" i="2"/>
  <c r="X19" i="16"/>
  <c r="L18" i="2"/>
  <c r="X10" i="21"/>
  <c r="AO14" i="21"/>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T31" i="8"/>
  <c r="K30" i="2"/>
  <c r="AL21" i="11"/>
  <c r="L17"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Q32" i="16"/>
  <c r="L32" i="16"/>
  <c r="BS32" i="16"/>
  <c r="AA32" i="17"/>
  <c r="H32" i="12"/>
  <c r="X32" i="17"/>
  <c r="S32" i="16"/>
  <c r="X32" i="21"/>
  <c r="AC32" i="11"/>
  <c r="AG32" i="11"/>
  <c r="N32" i="21"/>
  <c r="K32" i="21"/>
  <c r="L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Z32" i="16"/>
  <c r="AS32" i="16"/>
  <c r="M32" i="17"/>
  <c r="Z32" i="16"/>
  <c r="V32" i="17"/>
  <c r="AN32" i="17"/>
  <c r="AU32" i="16"/>
  <c r="BC32" i="21"/>
  <c r="L32" i="11"/>
  <c r="O32" i="17"/>
  <c r="AB32" i="21"/>
  <c r="V32" i="11"/>
  <c r="P32" i="11"/>
  <c r="BD32" i="21"/>
  <c r="AS32" i="21"/>
  <c r="AR32" i="17"/>
  <c r="H32" i="16"/>
  <c r="AA32" i="11"/>
  <c r="Y32" i="11"/>
  <c r="AB32" i="16"/>
  <c r="AO32" i="21"/>
  <c r="AM32" i="17"/>
  <c r="AE32" i="21"/>
  <c r="AD32" i="21"/>
  <c r="S32" i="21"/>
  <c r="AW32" i="17"/>
  <c r="AF32" i="17"/>
  <c r="AY32" i="16"/>
  <c r="BF32" i="16"/>
  <c r="AY32" i="21"/>
  <c r="AF32" i="11"/>
  <c r="AK32" i="16"/>
  <c r="AL32" i="17"/>
  <c r="I32" i="21"/>
  <c r="U32" i="11"/>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<sst xmlns="http://schemas.openxmlformats.org/spreadsheetml/2006/main" count="2682" uniqueCount="1192">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</sst>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WsuVqQdtZTc1+bDE3yz/MMValojnYgAfwVIqG0UMCI3jFOqmRTizYnfbuCjgbzev0LKTVtfKTZ8QtxCFGuDTg==" saltValue="VgFvXVVvSDb3v5owOrPd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5</v>
      </c>
      <c r="F10" s="240">
        <f>IF(ISNUMBER(Datos!K10),Datos!K10," - ")</f>
        <v>0</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0.16666666666666666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46.805946791862283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1780</v>
      </c>
      <c r="D17" s="239">
        <f>IF(ISNUMBER(IF(D_I="SI",Datos!I17,Datos!I17+Datos!AC17)),IF(D_I="SI",Datos!I17,Datos!I17+Datos!AC17)," - ")</f>
        <v>1768</v>
      </c>
      <c r="E17" s="240">
        <f>IF(ISNUMBER(IF(D_I="SI",Datos!J17,Datos!J17+Datos!AD17)),IF(D_I="SI",Datos!J17,Datos!J17+Datos!AD17)," - ")</f>
        <v>1414</v>
      </c>
      <c r="F17" s="240">
        <f>IF(ISNUMBER(IF(D_I="SI",Datos!K17,Datos!K17+Datos!AE17)),IF(D_I="SI",Datos!K17,Datos!K17+Datos!AE17)," - ")</f>
        <v>1095</v>
      </c>
      <c r="G17" s="1390" t="str">
        <f>IF(Datos!E17&lt;&gt;"",Datos!E17,Datos!D17)</f>
        <v>04</v>
      </c>
      <c r="H17" s="241">
        <f>IF(ISNUMBER(IF(D_I="SI",Datos!L17,Datos!L17+Datos!AF17)),IF(D_I="SI",Datos!L17,Datos!L17+Datos!AF17)," - ")</f>
        <v>2099</v>
      </c>
      <c r="I17" s="1400" t="str">
        <f>IF(ISNUMBER(Datos!AS17/Datos!BM17),Datos!AS17/Datos!BM17," - ")</f>
        <v xml:space="preserve"> - </v>
      </c>
      <c r="J17" s="1401">
        <f>IF(ISNUMBER(Datos!BY17/Datos!CN17),Datos!BY17/Datos!CN17," - ")</f>
        <v>0</v>
      </c>
      <c r="K17" s="244">
        <f t="shared" si="3"/>
        <v>0.17921348314606741</v>
      </c>
      <c r="L17" s="1402">
        <f>IF(ISNUMBER(NºAsuntos!I17/NºAsuntos!G17),(NºAsuntos!I17/NºAsuntos!G17)*11," - ")</f>
        <v>21.085844748858449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243</v>
      </c>
      <c r="D18" s="239">
        <f>IF(ISNUMBER(IF(D_I="SI",Datos!I18,Datos!I18+Datos!AC18)),IF(D_I="SI",Datos!I18,Datos!I18+Datos!AC18)," - ")</f>
        <v>243</v>
      </c>
      <c r="E18" s="240">
        <f>IF(ISNUMBER(IF(D_I="SI",Datos!J18,Datos!J18+Datos!AD18)),IF(D_I="SI",Datos!J18,Datos!J18+Datos!AD18)," - ")</f>
        <v>71</v>
      </c>
      <c r="F18" s="240">
        <f>IF(ISNUMBER(IF(D_I="SI",Datos!K18,Datos!K18+Datos!AE18)),IF(D_I="SI",Datos!K18,Datos!K18+Datos!AE18)," - ")</f>
        <v>34</v>
      </c>
      <c r="G18" s="1390" t="str">
        <f>IF(Datos!E18&lt;&gt;"",Datos!E18,Datos!D18)</f>
        <v>37</v>
      </c>
      <c r="H18" s="241">
        <f>IF(ISNUMBER(IF(D_I="SI",Datos!L18,Datos!L18+Datos!AF18)),IF(D_I="SI",Datos!L18,Datos!L18+Datos!AF18)," - ")</f>
        <v>280</v>
      </c>
      <c r="I18" s="1400" t="str">
        <f>IF(ISNUMBER(Datos!AS18/Datos!BM18),Datos!AS18/Datos!BM18," - ")</f>
        <v xml:space="preserve"> - </v>
      </c>
      <c r="J18" s="1401" t="str">
        <f>IF(ISNUMBER((Datos!BY18+Datos!BZ18)/Datos!CN18),(Datos!BY18+Datos!BZ18)/Datos!CN18," - ")</f>
        <v xml:space="preserve"> - </v>
      </c>
      <c r="K18" s="244">
        <f t="shared" si="3"/>
        <v>0.15226337448559671</v>
      </c>
      <c r="L18" s="1402">
        <f>IF(ISNUMBER(NºAsuntos!I18/NºAsuntos!G18),(NºAsuntos!I18/NºAsuntos!G18)*11," - ")</f>
        <v>90.588235294117638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2023</v>
      </c>
      <c r="D23" s="1407">
        <f>SUBTOTAL(9,D16:D22)</f>
        <v>2011</v>
      </c>
      <c r="E23" s="1408">
        <f>SUBTOTAL(9,E16:E22)</f>
        <v>1485</v>
      </c>
      <c r="F23" s="1408">
        <f>SUBTOTAL(9,F16:F22)</f>
        <v>1129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2053</v>
      </c>
      <c r="D31" s="1435">
        <f>SUBTOTAL(9,D9:D30)</f>
        <v>2041</v>
      </c>
      <c r="E31" s="1436">
        <f>SUBTOTAL(9,E9:E30)</f>
        <v>1490</v>
      </c>
      <c r="F31" s="1436">
        <f>SUBTOTAL(9,F9:F30)</f>
        <v>1129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PxIuVIkaTRwkXF6iMkXPBMZ2Ia1LSv+l4VKsGIE3pG53nWtPJt6GDs4jFC1O4vl40pRM6WgVj3pHqoSVI7ckQ==" saltValue="sCAktcWwSRw4Xb1WJtsx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ucV4wNFWEA68n7rphqkB44OU5GioW5dt94Y/PYdATui0KjeHw434y1VqQkDwLhWi4TqMpIK54NWYfqBAkHyBg==" saltValue="mj8TJMh9EM+p8pWobRD9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5</v>
      </c>
      <c r="K10" s="194">
        <v>0</v>
      </c>
      <c r="L10" s="194">
        <v>35</v>
      </c>
      <c r="M10" s="194">
        <v>0</v>
      </c>
      <c r="N10" s="194">
        <v>0</v>
      </c>
      <c r="O10" s="194">
        <v>0</v>
      </c>
      <c r="P10" s="194">
        <v>0</v>
      </c>
      <c r="Q10" s="194">
        <v>0</v>
      </c>
      <c r="R10" s="194">
        <v>4</v>
      </c>
      <c r="S10" s="194">
        <v>24</v>
      </c>
      <c r="T10" s="194">
        <v>3</v>
      </c>
      <c r="U10" s="194">
        <v>0</v>
      </c>
      <c r="V10" s="194">
        <v>27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3</v>
      </c>
      <c r="BA10" s="139">
        <f t="shared" si="0"/>
        <v>0</v>
      </c>
      <c r="BB10" s="139">
        <f t="shared" si="0"/>
        <v>27</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2529</v>
      </c>
      <c r="J12" s="196">
        <v>553</v>
      </c>
      <c r="K12" s="196">
        <v>582</v>
      </c>
      <c r="L12" s="196">
        <v>2501</v>
      </c>
      <c r="M12" s="196">
        <v>106</v>
      </c>
      <c r="N12" s="196">
        <v>196</v>
      </c>
      <c r="O12" s="194">
        <v>433</v>
      </c>
      <c r="P12" s="196">
        <v>156</v>
      </c>
      <c r="Q12" s="196">
        <v>145</v>
      </c>
      <c r="R12" s="196">
        <v>2775</v>
      </c>
      <c r="S12" s="196">
        <v>2280</v>
      </c>
      <c r="T12" s="196">
        <v>447</v>
      </c>
      <c r="U12" s="196">
        <v>467</v>
      </c>
      <c r="V12" s="196">
        <v>2260</v>
      </c>
      <c r="W12" s="196">
        <v>138</v>
      </c>
      <c r="X12" s="202">
        <v>173</v>
      </c>
      <c r="Y12" s="204">
        <v>196</v>
      </c>
      <c r="Z12" s="194">
        <v>79</v>
      </c>
      <c r="AA12" s="194">
        <v>57</v>
      </c>
      <c r="AB12" s="194">
        <v>218</v>
      </c>
      <c r="AC12" s="196">
        <v>0</v>
      </c>
      <c r="AD12" s="196">
        <v>0</v>
      </c>
      <c r="AE12" s="196">
        <v>0</v>
      </c>
      <c r="AF12" s="202">
        <v>0</v>
      </c>
      <c r="AG12" s="215">
        <v>179</v>
      </c>
      <c r="AH12" s="196">
        <v>63</v>
      </c>
      <c r="AI12" s="196">
        <v>56</v>
      </c>
      <c r="AJ12" s="216">
        <v>186</v>
      </c>
      <c r="AK12" s="195">
        <v>0</v>
      </c>
      <c r="AL12" s="196">
        <v>0</v>
      </c>
      <c r="AM12" s="196">
        <v>0</v>
      </c>
      <c r="AN12" s="202">
        <v>0</v>
      </c>
      <c r="AO12" s="283">
        <v>4</v>
      </c>
      <c r="AP12" s="168">
        <v>4</v>
      </c>
      <c r="AQ12" s="168">
        <v>4</v>
      </c>
      <c r="AR12" s="167">
        <v>4</v>
      </c>
      <c r="AS12" s="381" t="s">
        <v>1075</v>
      </c>
      <c r="AT12" s="216"/>
      <c r="AU12" s="215"/>
      <c r="AV12" s="216"/>
      <c r="AW12" s="215"/>
      <c r="AX12" s="216"/>
      <c r="AY12" s="136">
        <f t="shared" si="1"/>
        <v>2459</v>
      </c>
      <c r="AZ12" s="137">
        <f t="shared" si="1"/>
        <v>510</v>
      </c>
      <c r="BA12" s="137">
        <f t="shared" si="1"/>
        <v>523</v>
      </c>
      <c r="BB12" s="137">
        <f t="shared" si="1"/>
        <v>2446</v>
      </c>
      <c r="BC12" s="135">
        <f>IF(ISNUMBER(X12),X12," - ")</f>
        <v>173</v>
      </c>
      <c r="BD12" s="136">
        <f t="shared" si="2"/>
        <v>1.0254901960784313</v>
      </c>
      <c r="BE12" s="137">
        <f t="shared" si="3"/>
        <v>4.676864244741874</v>
      </c>
      <c r="BF12" s="137">
        <f t="shared" si="4"/>
        <v>0.33078393881453155</v>
      </c>
      <c r="BG12" s="209">
        <f t="shared" si="5"/>
        <v>5.676864244741874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2559</v>
      </c>
      <c r="J14" s="197">
        <f t="shared" si="7"/>
        <v>558</v>
      </c>
      <c r="K14" s="197">
        <f t="shared" si="7"/>
        <v>582</v>
      </c>
      <c r="L14" s="197">
        <f t="shared" si="7"/>
        <v>2536</v>
      </c>
      <c r="M14" s="197">
        <f t="shared" si="7"/>
        <v>106</v>
      </c>
      <c r="N14" s="197">
        <f t="shared" si="7"/>
        <v>196</v>
      </c>
      <c r="O14" s="197">
        <f t="shared" si="7"/>
        <v>433</v>
      </c>
      <c r="P14" s="197">
        <f t="shared" si="7"/>
        <v>156</v>
      </c>
      <c r="Q14" s="197">
        <f t="shared" si="7"/>
        <v>145</v>
      </c>
      <c r="R14" s="197">
        <f t="shared" si="7"/>
        <v>2779</v>
      </c>
      <c r="S14" s="197">
        <f t="shared" si="7"/>
        <v>2304</v>
      </c>
      <c r="T14" s="197">
        <f t="shared" si="7"/>
        <v>450</v>
      </c>
      <c r="U14" s="197">
        <f t="shared" si="7"/>
        <v>467</v>
      </c>
      <c r="V14" s="197">
        <f t="shared" si="7"/>
        <v>2287</v>
      </c>
      <c r="W14" s="197">
        <f t="shared" si="7"/>
        <v>138</v>
      </c>
      <c r="X14" s="197">
        <f t="shared" si="7"/>
        <v>173</v>
      </c>
      <c r="Y14" s="197">
        <f t="shared" si="7"/>
        <v>196</v>
      </c>
      <c r="Z14" s="197">
        <f t="shared" si="7"/>
        <v>79</v>
      </c>
      <c r="AA14" s="197">
        <f t="shared" si="7"/>
        <v>57</v>
      </c>
      <c r="AB14" s="197">
        <f t="shared" si="7"/>
        <v>218</v>
      </c>
      <c r="AC14" s="197">
        <f t="shared" si="7"/>
        <v>0</v>
      </c>
      <c r="AD14" s="197">
        <f t="shared" si="7"/>
        <v>0</v>
      </c>
      <c r="AE14" s="197">
        <f t="shared" si="7"/>
        <v>0</v>
      </c>
      <c r="AF14" s="197">
        <f>SUBTOTAL(9,AF9:AF13)</f>
        <v>0</v>
      </c>
      <c r="AG14" s="197">
        <f t="shared" ref="AG14:AT14" si="8">SUBTOTAL(9,AG8:AG13)</f>
        <v>179</v>
      </c>
      <c r="AH14" s="197">
        <f t="shared" si="8"/>
        <v>63</v>
      </c>
      <c r="AI14" s="197">
        <f t="shared" si="8"/>
        <v>56</v>
      </c>
      <c r="AJ14" s="197">
        <f t="shared" si="8"/>
        <v>186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2483</v>
      </c>
      <c r="AZ14" s="197">
        <f>SUBTOTAL(9,AZ8:AZ13)</f>
        <v>513</v>
      </c>
      <c r="BA14" s="197">
        <f>SUBTOTAL(9,BA8:BA13)</f>
        <v>523</v>
      </c>
      <c r="BB14" s="197">
        <f>SUBTOTAL(9,BB8:BB13)</f>
        <v>2473</v>
      </c>
      <c r="BC14" s="197">
        <f>SUBTOTAL(9,BC8:BC13)</f>
        <v>173</v>
      </c>
      <c r="BD14" s="219">
        <f>IF(ISNUMBER(BA14/AZ14),BA14/AZ14," - ")</f>
        <v>1.0194931773879143</v>
      </c>
      <c r="BE14" s="220">
        <f>IF(ISNUMBER(BB14/BA14),BB14/BA14, " - ")</f>
        <v>4.7284894837476097</v>
      </c>
      <c r="BF14" s="220">
        <f>IF(ISNUMBER(BC14/BA14),BC14/BA14, " - ")</f>
        <v>0.33078393881453155</v>
      </c>
      <c r="BG14" s="221">
        <f>IF(ISNUMBER((AY14+AZ14)/BA14),(AY14+AZ14)/BA14," - ")</f>
        <v>5.7284894837476097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1768</v>
      </c>
      <c r="J17" s="196">
        <v>1414</v>
      </c>
      <c r="K17" s="196">
        <v>1095</v>
      </c>
      <c r="L17" s="196">
        <v>2099</v>
      </c>
      <c r="M17" s="196">
        <v>63</v>
      </c>
      <c r="N17" s="196">
        <v>807</v>
      </c>
      <c r="O17" s="194">
        <v>0</v>
      </c>
      <c r="P17" s="196">
        <v>24</v>
      </c>
      <c r="Q17" s="196">
        <v>24</v>
      </c>
      <c r="R17" s="196">
        <v>233</v>
      </c>
      <c r="S17" s="196">
        <v>1949</v>
      </c>
      <c r="T17" s="196">
        <v>1115</v>
      </c>
      <c r="U17" s="196">
        <v>1035</v>
      </c>
      <c r="V17" s="196">
        <v>1795</v>
      </c>
      <c r="W17" s="196">
        <v>79</v>
      </c>
      <c r="X17" s="202">
        <v>692</v>
      </c>
      <c r="Y17" s="215">
        <v>0</v>
      </c>
      <c r="Z17" s="196">
        <v>0</v>
      </c>
      <c r="AA17" s="196">
        <v>0</v>
      </c>
      <c r="AB17" s="196">
        <v>0</v>
      </c>
      <c r="AC17" s="196">
        <v>1</v>
      </c>
      <c r="AD17" s="196">
        <v>0</v>
      </c>
      <c r="AE17" s="196">
        <v>1</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1949</v>
      </c>
      <c r="AZ17" s="137">
        <f t="shared" si="10"/>
        <v>1115</v>
      </c>
      <c r="BA17" s="137">
        <f t="shared" si="10"/>
        <v>1035</v>
      </c>
      <c r="BB17" s="137">
        <f t="shared" si="10"/>
        <v>1795</v>
      </c>
      <c r="BC17" s="135">
        <f>IF(ISNUMBER(W17),W17," - ")</f>
        <v>79</v>
      </c>
      <c r="BD17" s="136">
        <f t="shared" ref="BD17:BD22" si="12">IF(ISNUMBER(BA17/AZ17),BA17/AZ17," - ")</f>
        <v>0.9282511210762332</v>
      </c>
      <c r="BE17" s="137">
        <f t="shared" ref="BE17:BE22" si="13">IF(ISNUMBER(BB17/BA17),BB17/BA17, " - ")</f>
        <v>1.7342995169082125</v>
      </c>
      <c r="BF17" s="137">
        <f t="shared" ref="BF17:BF22" si="14">IF(ISNUMBER(BC17/BA17),BC17/BA17, " - ")</f>
        <v>7.6328502415458938E-2</v>
      </c>
      <c r="BG17" s="209">
        <f t="shared" si="11"/>
        <v>2.9603864734299519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243</v>
      </c>
      <c r="J18" s="196">
        <v>71</v>
      </c>
      <c r="K18" s="196">
        <v>34</v>
      </c>
      <c r="L18" s="196">
        <v>280</v>
      </c>
      <c r="M18" s="196">
        <v>1</v>
      </c>
      <c r="N18" s="196">
        <v>38</v>
      </c>
      <c r="O18" s="196">
        <v>0</v>
      </c>
      <c r="P18" s="196">
        <v>0</v>
      </c>
      <c r="Q18" s="196">
        <v>0</v>
      </c>
      <c r="R18" s="196">
        <v>10</v>
      </c>
      <c r="S18" s="196">
        <v>317</v>
      </c>
      <c r="T18" s="196">
        <v>52</v>
      </c>
      <c r="U18" s="196">
        <v>25</v>
      </c>
      <c r="V18" s="196">
        <v>138</v>
      </c>
      <c r="W18" s="196">
        <v>3</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317</v>
      </c>
      <c r="AZ18" s="139">
        <f t="shared" si="15"/>
        <v>52</v>
      </c>
      <c r="BA18" s="139">
        <f t="shared" si="15"/>
        <v>25</v>
      </c>
      <c r="BB18" s="139">
        <f t="shared" si="15"/>
        <v>138</v>
      </c>
      <c r="BC18" s="135">
        <f>IF(ISNUMBER(W18),W18," - ")</f>
        <v>3</v>
      </c>
      <c r="BD18" s="136">
        <f>IF(ISNUMBER(BA18/AZ18),BA18/AZ18," - ")</f>
        <v>0.48076923076923078</v>
      </c>
      <c r="BE18" s="137">
        <f>IF(ISNUMBER(BB18/BA18),BB18/BA18, " - ")</f>
        <v>5.52</v>
      </c>
      <c r="BF18" s="137">
        <f>IF(ISNUMBER(BC18/BA18),BC18/BA18, " - ")</f>
        <v>0.12</v>
      </c>
      <c r="BG18" s="209">
        <f>IF(ISNUMBER((AY18+AZ18)/BA18),(AY18+AZ18)/BA18," - ")</f>
        <v>14.76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2011</v>
      </c>
      <c r="J23" s="197">
        <f t="shared" si="21"/>
        <v>1485</v>
      </c>
      <c r="K23" s="197">
        <f t="shared" si="21"/>
        <v>1129</v>
      </c>
      <c r="L23" s="197">
        <f t="shared" si="21"/>
        <v>2379</v>
      </c>
      <c r="M23" s="197">
        <f t="shared" si="21"/>
        <v>64</v>
      </c>
      <c r="N23" s="197">
        <f t="shared" si="21"/>
        <v>845</v>
      </c>
      <c r="O23" s="197">
        <f t="shared" si="21"/>
        <v>0</v>
      </c>
      <c r="P23" s="197">
        <f t="shared" si="21"/>
        <v>24</v>
      </c>
      <c r="Q23" s="197">
        <f t="shared" si="21"/>
        <v>24</v>
      </c>
      <c r="R23" s="197">
        <f t="shared" si="21"/>
        <v>243</v>
      </c>
      <c r="S23" s="197">
        <f t="shared" si="21"/>
        <v>2266</v>
      </c>
      <c r="T23" s="197">
        <f t="shared" si="21"/>
        <v>1167</v>
      </c>
      <c r="U23" s="197">
        <f t="shared" si="21"/>
        <v>1060</v>
      </c>
      <c r="V23" s="197">
        <f t="shared" si="21"/>
        <v>1933</v>
      </c>
      <c r="W23" s="197">
        <f t="shared" si="21"/>
        <v>82</v>
      </c>
      <c r="X23" s="197">
        <f t="shared" si="21"/>
        <v>714</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2266</v>
      </c>
      <c r="AZ23" s="197">
        <f>SUBTOTAL(9,AZ15:AZ22)</f>
        <v>1167</v>
      </c>
      <c r="BA23" s="197">
        <f>SUBTOTAL(9,BA15:BA22)</f>
        <v>1060</v>
      </c>
      <c r="BB23" s="197">
        <f>SUBTOTAL(9,BB15:BB22)</f>
        <v>1933</v>
      </c>
      <c r="BC23" s="197">
        <f>SUBTOTAL(9,BC15:BC22)</f>
        <v>82</v>
      </c>
      <c r="BD23" s="219">
        <f>IF(ISNUMBER(BA23/AZ23),BA23/AZ23," - ")</f>
        <v>0.90831191088260499</v>
      </c>
      <c r="BE23" s="220">
        <f>IF(ISNUMBER(BB23/BA23),BB23/BA23, " - ")</f>
        <v>1.8235849056603775</v>
      </c>
      <c r="BF23" s="220">
        <f>IF(ISNUMBER(BC23/BA23),BC23/BA23, " - ")</f>
        <v>7.7358490566037733E-2</v>
      </c>
      <c r="BG23" s="221">
        <f>IF(ISNUMBER((AY23+AZ23)/BA23),(AY23+AZ23)/BA23," - ")</f>
        <v>3.2386792452830186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4570</v>
      </c>
      <c r="J31" s="144">
        <f t="shared" si="36"/>
        <v>2043</v>
      </c>
      <c r="K31" s="144">
        <f t="shared" si="36"/>
        <v>1711</v>
      </c>
      <c r="L31" s="144">
        <f t="shared" si="36"/>
        <v>4915</v>
      </c>
      <c r="M31" s="144">
        <f t="shared" si="36"/>
        <v>170</v>
      </c>
      <c r="N31" s="144">
        <f t="shared" si="36"/>
        <v>1041</v>
      </c>
      <c r="O31" s="144">
        <f t="shared" si="36"/>
        <v>433</v>
      </c>
      <c r="P31" s="144">
        <f t="shared" si="36"/>
        <v>180</v>
      </c>
      <c r="Q31" s="144">
        <f t="shared" si="36"/>
        <v>169</v>
      </c>
      <c r="R31" s="144">
        <f t="shared" si="36"/>
        <v>3022</v>
      </c>
      <c r="S31" s="144">
        <f t="shared" si="36"/>
        <v>4570</v>
      </c>
      <c r="T31" s="144">
        <f t="shared" si="36"/>
        <v>1617</v>
      </c>
      <c r="U31" s="144">
        <f t="shared" si="36"/>
        <v>1527</v>
      </c>
      <c r="V31" s="144">
        <f t="shared" si="36"/>
        <v>4220</v>
      </c>
      <c r="W31" s="144">
        <f t="shared" si="36"/>
        <v>220</v>
      </c>
      <c r="X31" s="144">
        <f t="shared" si="36"/>
        <v>887</v>
      </c>
      <c r="Y31" s="144">
        <f t="shared" si="36"/>
        <v>196</v>
      </c>
      <c r="Z31" s="144">
        <f t="shared" si="36"/>
        <v>79</v>
      </c>
      <c r="AA31" s="144">
        <f t="shared" si="36"/>
        <v>57</v>
      </c>
      <c r="AB31" s="144">
        <f t="shared" si="36"/>
        <v>218</v>
      </c>
      <c r="AC31" s="144">
        <f t="shared" si="36"/>
        <v>1</v>
      </c>
      <c r="AD31" s="144">
        <f t="shared" si="36"/>
        <v>0</v>
      </c>
      <c r="AE31" s="144">
        <f t="shared" si="36"/>
        <v>1</v>
      </c>
      <c r="AF31" s="144">
        <f t="shared" si="36"/>
        <v>0</v>
      </c>
      <c r="AG31" s="144">
        <f t="shared" si="36"/>
        <v>179</v>
      </c>
      <c r="AH31" s="144">
        <f t="shared" si="36"/>
        <v>63</v>
      </c>
      <c r="AI31" s="144">
        <f t="shared" si="36"/>
        <v>56</v>
      </c>
      <c r="AJ31" s="144">
        <f t="shared" si="36"/>
        <v>186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4749</v>
      </c>
      <c r="AZ31" s="144">
        <f>SUBTOTAL(9,AZ9:AZ30)</f>
        <v>1680</v>
      </c>
      <c r="BA31" s="144">
        <f>SUBTOTAL(9,BA9:BA30)</f>
        <v>1583</v>
      </c>
      <c r="BB31" s="144">
        <f>SUBTOTAL(9,BB9:BB30)</f>
        <v>4406</v>
      </c>
      <c r="BC31" s="145">
        <f>SUBTOTAL(9,BC9:BC30)</f>
        <v>255</v>
      </c>
      <c r="BD31" s="227">
        <f>IF(ISNUMBER(BA31/AZ31),BA31/AZ31," - ")</f>
        <v>0.94226190476190474</v>
      </c>
      <c r="BE31" s="224">
        <f>IF(ISNUMBER(BB31/BA31),BB31/BA31, " - ")</f>
        <v>2.7833228048010108</v>
      </c>
      <c r="BF31" s="224">
        <f>IF(ISNUMBER(BC31/BA31),BC31/BA31, " - ")</f>
        <v>0.16108654453569171</v>
      </c>
      <c r="BG31" s="145">
        <f>IF(ISNUMBER((AY31+AZ31)/BA31),(AY31+AZ31)/BA31," - ")</f>
        <v>4.0612760581174987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jMDKiqW4eFWIIb6MNails6uFO/csPVpGAeti/bNN5QuH1Oz4OXfCAaNK0iWHoSxMZTu3ckmnmb2kRU2mJneA==" saltValue="owA2ph5B8T6KddrYrM1c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1CRODqSUC1e1XBxe+5IwGz2xcrLl1zFIE7Ihp3MOH1fm7p+WmkYU8UgTqCedRzDcTJdFj7JnFg87U3ewXR+g==" saltValue="lu9I7k7WsWC6WBWNFEJG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CUENCA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156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218</v>
      </c>
      <c r="AI12" s="549" t="str">
        <f>IF(ISNUMBER(Datos!CD12),Datos!CD12,"-")</f>
        <v>-</v>
      </c>
      <c r="AJ12" s="549" t="str">
        <f>IF(ISNUMBER(Datos!EN12),Datos!EN12," - ")</f>
        <v xml:space="preserve"> - </v>
      </c>
      <c r="AK12" s="549"/>
      <c r="AL12" s="550"/>
      <c r="AM12" s="766">
        <f>IF(ISNUMBER(Datos!R12),Datos!R12," - ")</f>
        <v>2775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196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1.0110759493670887</v>
      </c>
      <c r="BH12" s="764">
        <f>IF(ISNUMBER(((IF(J_V="SI",Datos!L12/Datos!K12,(Datos!L12+Datos!AB12)/(Datos!K12+Datos!AA12)))*11)/factor_trimestre),((IF(J_V="SI",Datos!L12/Datos!K12,(Datos!L12+Datos!AB12)/(Datos!K12+Datos!AA12)))*11)/factor_trimestre," - ")</f>
        <v>8.5101721439749607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3.9797395079594787E-3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145</v>
      </c>
      <c r="AD14" s="1198">
        <f t="shared" si="2"/>
        <v>0</v>
      </c>
      <c r="AE14" s="1198">
        <f t="shared" si="2"/>
        <v>0</v>
      </c>
      <c r="AF14" s="1198">
        <f t="shared" si="2"/>
        <v>35</v>
      </c>
      <c r="AG14" s="1198">
        <f t="shared" si="2"/>
        <v>0</v>
      </c>
      <c r="AH14" s="1198">
        <f t="shared" si="2"/>
        <v>218</v>
      </c>
      <c r="AI14" s="1198">
        <f t="shared" si="2"/>
        <v>0</v>
      </c>
      <c r="AJ14" s="1198">
        <f t="shared" si="2"/>
        <v>0</v>
      </c>
      <c r="AK14" s="1198">
        <f t="shared" si="2"/>
        <v>0</v>
      </c>
      <c r="AL14" s="1198">
        <f t="shared" si="2"/>
        <v>0</v>
      </c>
      <c r="AM14" s="1198">
        <f t="shared" si="2"/>
        <v>2779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196</v>
      </c>
      <c r="BE14" s="1198">
        <f t="shared" si="2"/>
        <v>0</v>
      </c>
      <c r="BF14" s="1198">
        <f t="shared" si="2"/>
        <v>0</v>
      </c>
      <c r="BG14" s="1198">
        <f>IF(ISNUMBER(Datos!K14/Datos!J14),Datos!K14/Datos!J14," - ")</f>
        <v>1.043010752688172</v>
      </c>
      <c r="BH14" s="1202">
        <f>IF(ISNUMBER(((Datos!L14/Datos!K14)*11)/factor_trimestre),((Datos!L14/Datos!K14)*11)/factor_trimestre," - ")</f>
        <v>8.7147766323024047</v>
      </c>
      <c r="BI14" s="1198">
        <f>IF(ISNUMBER('Resol  Asuntos'!D14/NºAsuntos!G14),'Resol  Asuntos'!D14/NºAsuntos!G14," - ")</f>
        <v>0.16588419405320814</v>
      </c>
      <c r="BJ14" s="1198" t="str">
        <f>IF(ISNUMBER(Datos!CI14/Datos!CJ14),Datos!CI14/Datos!CJ14," - ")</f>
        <v xml:space="preserve"> - </v>
      </c>
      <c r="BK14" s="1198">
        <f>SUBTOTAL(9,BK8:BK13)</f>
        <v>0</v>
      </c>
      <c r="BL14" s="1198">
        <f>IF(ISNUMBER((I14-AB14+L14)/(F14)),(I14-AB14+L14)/(F14)," - ")</f>
        <v>0</v>
      </c>
      <c r="BM14" s="1203">
        <f>SUBTOTAL(9,BM9:BM13)</f>
        <v>3.9797395079594787E-3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1780</v>
      </c>
      <c r="G17" s="743">
        <f>IF(ISNUMBER(IF(D_I="SI",Datos!I17,Datos!I17+Datos!AC17)),IF(D_I="SI",Datos!I17,Datos!I17+Datos!AC17)," - ")</f>
        <v>1768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1095</v>
      </c>
      <c r="AC17" s="240">
        <f>IF(ISNUMBER(Datos!Q17),Datos!Q17," - ")</f>
        <v>24</v>
      </c>
      <c r="AD17" s="374"/>
      <c r="AE17" s="562"/>
      <c r="AF17" s="741">
        <f>IF(ISNUMBER(IF(D_I="SI",Datos!L17,Datos!L17+Datos!AF17)),IF(D_I="SI",Datos!L17,Datos!L17+Datos!AF17)," - ")</f>
        <v>2099</v>
      </c>
      <c r="AG17" s="374"/>
      <c r="AH17" s="374"/>
      <c r="AI17" s="374"/>
      <c r="AJ17" s="549"/>
      <c r="AK17" s="374"/>
      <c r="AL17" s="545"/>
      <c r="AM17" s="375">
        <f>IF(ISNUMBER(Datos!R17),Datos!R17," - ")</f>
        <v>233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807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0.77439886845827444</v>
      </c>
      <c r="BH17" s="764">
        <f>IF(ISNUMBER(((IF(D_I="SI",Datos!L17/Datos!K17,(Datos!L17+Datos!AF17)/(Datos!K17+Datos!AE17)))*11)/factor_trimestre),((IF(D_I="SI",Datos!L17/Datos!K17,(Datos!L17+Datos!AF17)/(Datos!K17+Datos!AE17)))*11)/factor_trimestre," - ")</f>
        <v>3.8337899543378997</v>
      </c>
      <c r="BI17" s="266">
        <f>IF(ISNUMBER('Resol  Asuntos'!D17/NºAsuntos!G17),'Resol  Asuntos'!D17/NºAsuntos!G17," - ")</f>
        <v>5.7534246575342465E-2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280</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0.47887323943661969</v>
      </c>
      <c r="BH18" s="764">
        <f>IF(ISNUMBER(((IF(D_I="SI",Datos!L18/Datos!K18,(Datos!L18+Datos!AF18)/(Datos!K18+Datos!AE18)))*11)/factor_trimestre),((IF(D_I="SI",Datos!L18/Datos!K18,(Datos!L18+Datos!AF18)/(Datos!K18+Datos!AE18)))*11)/factor_trimestre," - ")</f>
        <v>16.470588235294116</v>
      </c>
      <c r="BI18" s="763">
        <f>IF(ISNUMBER('Resol  Asuntos'!D18/NºAsuntos!G18),'Resol  Asuntos'!D18/NºAsuntos!G18," - ")</f>
        <v>2.9411764705882353E-2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1780</v>
      </c>
      <c r="G23" s="1197">
        <f>SUBTOTAL(9,G16:G22)</f>
        <v>2011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1129</v>
      </c>
      <c r="AC23" s="1198">
        <f t="shared" si="5"/>
        <v>24</v>
      </c>
      <c r="AD23" s="1198">
        <f t="shared" si="5"/>
        <v>0</v>
      </c>
      <c r="AE23" s="1198">
        <f t="shared" si="5"/>
        <v>0</v>
      </c>
      <c r="AF23" s="1198">
        <f t="shared" si="5"/>
        <v>2379</v>
      </c>
      <c r="AG23" s="1198">
        <f t="shared" si="5"/>
        <v>0</v>
      </c>
      <c r="AH23" s="1198">
        <f t="shared" si="5"/>
        <v>0</v>
      </c>
      <c r="AI23" s="1198">
        <f t="shared" si="5"/>
        <v>0</v>
      </c>
      <c r="AJ23" s="1198">
        <f t="shared" si="5"/>
        <v>0</v>
      </c>
      <c r="AK23" s="1198">
        <f t="shared" si="5"/>
        <v>0</v>
      </c>
      <c r="AL23" s="1198">
        <f t="shared" si="5"/>
        <v>0</v>
      </c>
      <c r="AM23" s="1198">
        <f t="shared" si="5"/>
        <v>243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845</v>
      </c>
      <c r="BE23" s="1198">
        <f t="shared" si="5"/>
        <v>0</v>
      </c>
      <c r="BF23" s="1198">
        <f t="shared" si="5"/>
        <v>0</v>
      </c>
      <c r="BG23" s="1198">
        <f>IF(ISNUMBER(Datos!K23/Datos!J23),Datos!K23/Datos!J23," - ")</f>
        <v>0.76026936026936032</v>
      </c>
      <c r="BH23" s="1202">
        <f>IF(ISNUMBER(((Datos!L23/Datos!K23)*11)/factor_trimestre),((Datos!L23/Datos!K23)*11)/factor_trimestre," - ")</f>
        <v>4.2143489813994686</v>
      </c>
      <c r="BI23" s="1198">
        <f>SUBTOTAL(9,BI16:BI22)</f>
        <v>8.6946011281224811E-2</v>
      </c>
      <c r="BJ23" s="1198">
        <f>SUBTOTAL(9,BJ16:BJ22)</f>
        <v>0</v>
      </c>
      <c r="BK23" s="1198">
        <f>SUBTOTAL(9,BK16:BK22)</f>
        <v>0</v>
      </c>
      <c r="BL23" s="1198">
        <f>IF(ISNUMBER((I23-AB23+L23)/(F23)),(I23-AB23+L23)/(F23)," - ")</f>
        <v>-0.63426966292134834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1810</v>
      </c>
      <c r="G31" s="1117">
        <f t="shared" si="18"/>
        <v>2041</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180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1129</v>
      </c>
      <c r="AC31" s="1118">
        <f t="shared" si="19"/>
        <v>169</v>
      </c>
      <c r="AD31" s="1118">
        <f t="shared" si="19"/>
        <v>0</v>
      </c>
      <c r="AE31" s="1118">
        <f t="shared" si="19"/>
        <v>0</v>
      </c>
      <c r="AF31" s="1125">
        <f t="shared" si="19"/>
        <v>2414</v>
      </c>
      <c r="AG31" s="1125">
        <f t="shared" si="19"/>
        <v>0</v>
      </c>
      <c r="AH31" s="1125">
        <f t="shared" si="19"/>
        <v>218</v>
      </c>
      <c r="AI31" s="1125">
        <f t="shared" si="19"/>
        <v>0</v>
      </c>
      <c r="AJ31" s="1118">
        <f t="shared" si="19"/>
        <v>0</v>
      </c>
      <c r="AK31" s="1125">
        <f t="shared" si="19"/>
        <v>0</v>
      </c>
      <c r="AL31" s="1125">
        <f t="shared" si="19"/>
        <v>0</v>
      </c>
      <c r="AM31" s="1125">
        <f t="shared" si="19"/>
        <v>3022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170</v>
      </c>
      <c r="BD31" s="1117">
        <f t="shared" si="19"/>
        <v>1041</v>
      </c>
      <c r="BE31" s="1117">
        <f t="shared" si="19"/>
        <v>0</v>
      </c>
      <c r="BF31" s="1127">
        <f t="shared" si="19"/>
        <v>0</v>
      </c>
      <c r="BG31" s="1223">
        <f>IF(ISNUMBER(Datos!K31/Datos!J31),Datos!K31/Datos!J31," - ")</f>
        <v>0.83749388154674498</v>
      </c>
      <c r="BH31" s="1223">
        <f>IF(ISNUMBER(((Datos!L31/Datos!K31)*11)/factor_trimestre),((Datos!L31/Datos!K31)*11)/factor_trimestre," - ")</f>
        <v>5.7451782583284627</v>
      </c>
      <c r="BI31" s="1103">
        <f>IF(ISNUMBER(Datos!J31/Datos!I31),Datos!J31/Datos!I31," - ")</f>
        <v>0.44704595185995621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-0.62375690607734802</v>
      </c>
      <c r="BM31" s="1188">
        <f>IF(ISNUMBER((Datos!P31-Datos!Q31+R31)/(Datos!R31-Datos!P31+Datos!Q31-R31)),(Datos!P31-Datos!Q31+R31)/(Datos!R31-Datos!P31+Datos!Q31-R31)," - ")</f>
        <v>3.6532713384257723E-3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911.54082007700936</v>
      </c>
      <c r="G33" s="674">
        <f>IF(ISNUMBER(STDEV(G8:G30)),STDEV(G8:G30),"-")</f>
        <v>899.11112189974028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539.51455252008941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47.940439237513395</v>
      </c>
      <c r="BD33" s="673"/>
      <c r="BE33" s="673">
        <f>IF(ISNUMBER(STDEV(BE8:BE30)),STDEV(BE8:BE30),"-")</f>
        <v>0</v>
      </c>
      <c r="BF33" s="678">
        <f>IF(ISNUMBER(STDEV(BF8:BF30)),STDEV(BF8:BF30),"-")</f>
        <v>0</v>
      </c>
      <c r="BG33" s="1052">
        <f>IF(ISNUMBER(STDEV(BG8:BG30)),STDEV(BG8:BG30),"-")</f>
        <v>0.38976117580731606</v>
      </c>
      <c r="BH33" s="1058">
        <f>IF(ISNUMBER(STDEV(BH8:BH30)),STDEV(BH8:BH30),"-")</f>
        <v>5.0892638200391787</v>
      </c>
      <c r="BI33" s="273">
        <f>IF(ISNUMBER(STDEV(BI8:BI30)),STDEV(BI8:BI30),"-")</f>
        <v>5.8851357396101985E-2</v>
      </c>
      <c r="BJ33" s="244" t="str">
        <f>IF(ISNUMBER(BL33/BM33),BL33/BM33," - ")</f>
        <v xml:space="preserve"> - </v>
      </c>
      <c r="BK33" s="709"/>
      <c r="BL33" s="681">
        <f>IF(ISNUMBER(STDEV(BL8:BL30)),STDEV(BL8:BL30),"-")</f>
        <v>0.44849637975259116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Yvi/IiTFJn/iVCoBRz2YBKQzp+aK0eWAJmLhM74RCNUlk5y+cfKZ+C8O/vmilsw3eOaYVwRD035EizoBD0liQ==" saltValue="QwRND/xkfPOkDvLSsiGG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CUENCA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145</v>
      </c>
      <c r="AA12" s="551" t="str">
        <f>IF(ISNUMBER(IF(J_V="SI",Datos!L12,Datos!L12+Datos!AB12)-IF(Monitorios="SI",Datos!CD12,0)),
                          IF(J_V="SI",Datos!L12,Datos!L12+Datos!AB12)-IF(Monitorios="SI",Datos!CD12,0),
                          " - ")</f>
        <v xml:space="preserve"> - </v>
      </c>
      <c r="AB12" s="549"/>
      <c r="AC12" s="549"/>
      <c r="AD12" s="563"/>
      <c r="AE12" s="563">
        <f>IF(ISNUMBER(Datos!R12),Datos!R12," - ")</f>
        <v>2775</v>
      </c>
      <c r="AF12" s="693" t="str">
        <f>IF(ISNUMBER(Datos!BV12),Datos!BV12," - ")</f>
        <v xml:space="preserve"> - </v>
      </c>
      <c r="AG12" s="552" t="str">
        <f>IF(ISNUMBER(Datos!DV12),Datos!DV12," - ")</f>
        <v xml:space="preserve"> - </v>
      </c>
      <c r="AH12" s="553"/>
      <c r="AI12" s="554"/>
      <c r="AJ12" s="552">
        <f>IF(ISNUMBER(Datos!M12),Datos!M12," - ")</f>
        <v>106</v>
      </c>
      <c r="AK12" s="693">
        <f>IF(ISNUMBER(Datos!N12),Datos!N12," - ")</f>
        <v>196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8.5101721439749607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3.9797395079594787E-3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145</v>
      </c>
      <c r="AA14" s="1199">
        <f t="shared" si="3"/>
        <v>35</v>
      </c>
      <c r="AB14" s="1199">
        <f t="shared" si="3"/>
        <v>0</v>
      </c>
      <c r="AC14" s="1199">
        <f t="shared" si="3"/>
        <v>0</v>
      </c>
      <c r="AD14" s="1199">
        <f t="shared" si="3"/>
        <v>0</v>
      </c>
      <c r="AE14" s="1199">
        <f t="shared" si="3"/>
        <v>2779</v>
      </c>
      <c r="AF14" s="1211">
        <f t="shared" si="3"/>
        <v>0</v>
      </c>
      <c r="AG14" s="1211">
        <f t="shared" si="3"/>
        <v>0</v>
      </c>
      <c r="AH14" s="1211">
        <f t="shared" si="3"/>
        <v>0</v>
      </c>
      <c r="AI14" s="1211">
        <f t="shared" si="3"/>
        <v>0</v>
      </c>
      <c r="AJ14" s="1211">
        <f t="shared" si="3"/>
        <v>106</v>
      </c>
      <c r="AK14" s="1211">
        <f t="shared" si="3"/>
        <v>196</v>
      </c>
      <c r="AL14" s="1211">
        <f t="shared" si="3"/>
        <v>0</v>
      </c>
      <c r="AM14" s="1211">
        <f t="shared" si="3"/>
        <v>0</v>
      </c>
      <c r="AN14" s="1211">
        <f t="shared" si="3"/>
        <v>0</v>
      </c>
      <c r="AO14" s="1203">
        <f>IF(ISNUMBER(((NºAsuntos!I14/NºAsuntos!G14)*11)/factor_trimestre),((NºAsuntos!I14/NºAsuntos!G14)*11)/factor_trimestre," - ")</f>
        <v>8.6197183098591541</v>
      </c>
      <c r="AP14" s="1213" t="str">
        <f>IF(ISNUMBER(Datos!CI14/Datos!CJ14),Datos!CI14/Datos!CJ14," - ")</f>
        <v xml:space="preserve"> - </v>
      </c>
      <c r="AQ14" s="1236">
        <f t="shared" ref="AQ14:AV14" si="4">SUBTOTAL(9,AQ9:AQ13)</f>
        <v>0</v>
      </c>
      <c r="AR14" s="1236">
        <f t="shared" si="4"/>
        <v>3.9797395079594787E-3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1780</v>
      </c>
      <c r="G17" s="552">
        <f>IF(ISNUMBER(IF(D_I="SI",Datos!I17,Datos!I17+Datos!AC17)),IF(D_I="SI",Datos!I17,Datos!I17+Datos!AC17)," - ")</f>
        <v>1768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1095</v>
      </c>
      <c r="Z17" s="805">
        <f>IF(ISNUMBER(Datos!Q17),Datos!Q17," - ")</f>
        <v>24</v>
      </c>
      <c r="AA17" s="551">
        <f>IF(ISNUMBER(IF(D_I="SI",Datos!L17,Datos!L17+Datos!AF17)),IF(D_I="SI",Datos!L17,Datos!L17+Datos!AF17)," - ")</f>
        <v>2099</v>
      </c>
      <c r="AB17" s="549"/>
      <c r="AC17" s="549"/>
      <c r="AD17" s="563"/>
      <c r="AE17" s="563">
        <f>IF(ISNUMBER(Datos!R17),Datos!R17," - ")</f>
        <v>233</v>
      </c>
      <c r="AF17" s="693" t="str">
        <f>IF(ISNUMBER(Datos!BV17),Datos!BV17," - ")</f>
        <v xml:space="preserve"> - </v>
      </c>
      <c r="AG17" s="552"/>
      <c r="AH17" s="553"/>
      <c r="AI17" s="554"/>
      <c r="AJ17" s="552">
        <f>IF(ISNUMBER(Datos!M17),Datos!M17," - ")</f>
        <v>63</v>
      </c>
      <c r="AK17" s="693">
        <f>IF(ISNUMBER(Datos!N17),Datos!N17," - ")</f>
        <v>807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3.8337899543378997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280</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16.470588235294116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1780</v>
      </c>
      <c r="G23" s="1197">
        <f>SUBTOTAL(9,G16:G22)</f>
        <v>2011</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1129</v>
      </c>
      <c r="Z23" s="1240">
        <f t="shared" si="6"/>
        <v>24</v>
      </c>
      <c r="AA23" s="1240">
        <f t="shared" si="6"/>
        <v>2379</v>
      </c>
      <c r="AB23" s="1240">
        <f t="shared" si="6"/>
        <v>0</v>
      </c>
      <c r="AC23" s="1240">
        <f t="shared" si="6"/>
        <v>0</v>
      </c>
      <c r="AD23" s="1240">
        <f t="shared" si="6"/>
        <v>0</v>
      </c>
      <c r="AE23" s="1240">
        <f t="shared" si="6"/>
        <v>243</v>
      </c>
      <c r="AF23" s="1240">
        <f t="shared" si="6"/>
        <v>0</v>
      </c>
      <c r="AG23" s="1240">
        <f t="shared" si="6"/>
        <v>0</v>
      </c>
      <c r="AH23" s="1240">
        <f t="shared" si="6"/>
        <v>0</v>
      </c>
      <c r="AI23" s="1240">
        <f t="shared" si="6"/>
        <v>0</v>
      </c>
      <c r="AJ23" s="1240">
        <f t="shared" si="6"/>
        <v>64</v>
      </c>
      <c r="AK23" s="1240">
        <f t="shared" si="6"/>
        <v>845</v>
      </c>
      <c r="AL23" s="1240">
        <f t="shared" si="6"/>
        <v>0</v>
      </c>
      <c r="AM23" s="1240">
        <f t="shared" si="6"/>
        <v>0</v>
      </c>
      <c r="AN23" s="1240">
        <f t="shared" si="6"/>
        <v>0</v>
      </c>
      <c r="AO23" s="1242">
        <f>IF(ISNUMBER(((NºAsuntos!I23/NºAsuntos!G23)*11)/factor_trimestre),((NºAsuntos!I23/NºAsuntos!G23)*11)/factor_trimestre," - ")</f>
        <v>4.2143489813994686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1810</v>
      </c>
      <c r="G31" s="1117">
        <f t="shared" si="12"/>
        <v>2041</v>
      </c>
      <c r="H31" s="1118">
        <f t="shared" si="12"/>
        <v>0</v>
      </c>
      <c r="I31" s="1117">
        <f t="shared" si="12"/>
        <v>0</v>
      </c>
      <c r="J31" s="1119">
        <f t="shared" si="12"/>
        <v>0</v>
      </c>
      <c r="K31" s="1117">
        <f t="shared" si="12"/>
        <v>0</v>
      </c>
      <c r="L31" s="1120">
        <f t="shared" si="12"/>
        <v>0</v>
      </c>
      <c r="M31" s="1117">
        <f t="shared" si="12"/>
        <v>0</v>
      </c>
      <c r="N31" s="1118">
        <f t="shared" si="12"/>
        <v>180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1129</v>
      </c>
      <c r="Z31" s="1124">
        <f t="shared" si="13"/>
        <v>169</v>
      </c>
      <c r="AA31" s="1125">
        <f t="shared" si="13"/>
        <v>2414</v>
      </c>
      <c r="AB31" s="1125">
        <f t="shared" si="13"/>
        <v>0</v>
      </c>
      <c r="AC31" s="1125">
        <f t="shared" si="13"/>
        <v>0</v>
      </c>
      <c r="AD31" s="1126">
        <f t="shared" si="13"/>
        <v>0</v>
      </c>
      <c r="AE31" s="1126">
        <f t="shared" si="13"/>
        <v>3022</v>
      </c>
      <c r="AF31" s="1127">
        <f t="shared" si="13"/>
        <v>0</v>
      </c>
      <c r="AG31" s="1128">
        <f t="shared" si="13"/>
        <v>0</v>
      </c>
      <c r="AH31" s="1129">
        <f t="shared" si="13"/>
        <v>0</v>
      </c>
      <c r="AI31" s="1127">
        <f t="shared" si="13"/>
        <v>0</v>
      </c>
      <c r="AJ31" s="1117">
        <f t="shared" si="13"/>
        <v>170</v>
      </c>
      <c r="AK31" s="1117">
        <f t="shared" si="13"/>
        <v>1041</v>
      </c>
      <c r="AL31" s="1117">
        <f t="shared" si="13"/>
        <v>0</v>
      </c>
      <c r="AM31" s="1130">
        <f t="shared" si="13"/>
        <v>0</v>
      </c>
      <c r="AN31" s="1120">
        <f>IF(ISNUMBER(Datos!K31/Datos!J31),Datos!K31/Datos!J31," - ")</f>
        <v>0.83749388154674498</v>
      </c>
      <c r="AO31" s="1120">
        <f>IF(ISNUMBER(FIND("06",Criterios!A8,1)),(IF(ISNUMBER(((Datos!R31/Datos!Q31)*11)/factor_trimestre),((Datos!R31/Datos!Q31)*11)/factor_trimestre," - ")),(IF(ISNUMBER(((Datos!L31/Datos!K31)*11)/factor_trimestre),((Datos!L31/Datos!K31)*11)/factor_trimestre," - ")))</f>
        <v>5.7451782583284627</v>
      </c>
      <c r="AP31" s="1131" t="str">
        <f>IF(ISNUMBER(Datos!CI31/Datos!CJ31),Datos!CI31/Datos!CJ31," - ")</f>
        <v xml:space="preserve"> - </v>
      </c>
      <c r="AQ31" s="1131">
        <f>IF(OR(ISNUMBER(FIND("01",Criterios!A8,1)),ISNUMBER(FIND("02",Criterios!A8,1)),ISNUMBER(FIND("03",Criterios!A8,1)),ISNUMBER(FIND("04",Criterios!A8,1))),(J31-Y31+K31)/(F31-K31),(I31-Y31+K31)/(F31-K31))</f>
        <v>-0.62375690607734802</v>
      </c>
      <c r="AR31" s="1131">
        <f>IF(ISNUMBER((Datos!P31-Datos!Q31+O31)/(Datos!R31-Datos!P31+Datos!Q31-O31)),(Datos!P31-Datos!Q31+O31)/(Datos!R31-Datos!P31+Datos!Q31-O31)," - ")</f>
        <v>3.6532713384257723E-3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911.54082007700936</v>
      </c>
      <c r="G33" s="674">
        <f>IF(ISNUMBER(STDEV(G8:G30)),STDEV(G8:G30),"-")</f>
        <v>899.11112189974028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47.940439237513395</v>
      </c>
      <c r="AK33" s="276"/>
      <c r="AL33" s="276">
        <f>IF(ISNUMBER(STDEV(AL8:AL30)),STDEV(AL8:AL30),"-")</f>
        <v>0</v>
      </c>
      <c r="AM33" s="278">
        <f>IF(ISNUMBER(STDEV(AM8:AM30)),STDEV(AM8:AM30),"-")</f>
        <v>0</v>
      </c>
      <c r="AN33" s="660">
        <f>IF(ISNUMBER(STDEV(AN8:AN30)),STDEV(AN8:AN30),"-")</f>
        <v>0</v>
      </c>
      <c r="AO33" s="661">
        <f>IF(ISNUMBER(STDEV(AO8:AO30)),STDEV(AO8:AO30),"-")</f>
        <v>5.0877318919281072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s7a2yhjqTO0RJW3h9u1BHA/O6DxaKQXkSRCxlYrkS+xcpN3xWJNaHzwTjBzInJlplwYJBB2nY+/2QWQuGiA2Q==" saltValue="69HzIDq68ARd4omGIBMx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umVFb0ygtQ99x0mt51pAYSh8GeGA4YHn1p0uHxIcBFMepxfYw3CTX9X5tp7oM4wNyzs2wp8qP/2iMMo0LOeaA==" saltValue="NUx6hnBEXperCcut8fOs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jf6toQLr0zt/ELqs9VEUznrX4hbyC34K5kViZIzPRXW39iGD6FBeuYl1lZZh0x88H+j27SDZVNNu/+X1zWA==" saltValue="ZD8AobK8lfWdRRx42mxD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CUENCA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0.16588419405320814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0.11729783850668864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2Q+n1NUffsDc8qp0D2Dh7LRLK/BLOnCRyMkrqjy94kpk6UHDn4YrotMuwIgfWFJ/QXyhhwuuuXqEylhe5rmRA==" saltValue="yGZ0SZG+2LBc2EuK2pS8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aYCiseDd1FhjIiTk1nRLYUjJuUsY2tSA9XqDtaXNvwQUThWtktUBstVd8sqhEv/DNG4l01QR3SYSebrcYNFNw==" saltValue="TzmP/nB5+pPG0GRMda79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CUENCA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5</v>
      </c>
      <c r="F10" s="452">
        <f>IF(ISNUMBER(E10/B10),E10/B10," - ")</f>
        <v>5</v>
      </c>
      <c r="G10" s="451">
        <f>IF(ISNUMBER(Datos!K10),Datos!K10," - ")</f>
        <v>0</v>
      </c>
      <c r="H10" s="452">
        <f>IF(ISNUMBER(G10/B10),G10/B10," - ")</f>
        <v>0</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2725</v>
      </c>
      <c r="D12" s="452">
        <f>IF(ISNUMBER(C12/Datos!BH12),C12/Datos!BH12," - ")</f>
        <v>681.25</v>
      </c>
      <c r="E12" s="451">
        <f>IF(ISNUMBER(IF(J_V="SI",Datos!J12,Datos!J12+Datos!Z12)),IF(J_V="SI",Datos!J12,Datos!J12+Datos!Z12)," - ")</f>
        <v>632</v>
      </c>
      <c r="F12" s="452">
        <f>IF(ISNUMBER(E12/B12),E12/B12," - ")</f>
        <v>158</v>
      </c>
      <c r="G12" s="451">
        <f>IF(ISNUMBER(IF(J_V="SI",Datos!K12,Datos!K12+Datos!AA12)),IF(J_V="SI",Datos!K12,Datos!K12+Datos!AA12)," - ")</f>
        <v>639</v>
      </c>
      <c r="H12" s="452">
        <f>IF(ISNUMBER(G12/B12),G12/B12," - ")</f>
        <v>159.75</v>
      </c>
      <c r="I12" s="451">
        <f>IF(ISNUMBER(IF(J_V="SI",Datos!L12,Datos!L12+Datos!AB12)),IF(J_V="SI",Datos!L12,Datos!L12+Datos!AB12)," - ")</f>
        <v>2719</v>
      </c>
      <c r="J12" s="452">
        <f>IF(ISNUMBER(I12/B12),I12/B12," - ")</f>
        <v>679.75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2755</v>
      </c>
      <c r="D14" s="1147" t="str">
        <f>IF(ISNUMBER(C14/Datos!BI14),C14/Datos!BI14," - ")</f>
        <v xml:space="preserve"> - </v>
      </c>
      <c r="E14" s="1146">
        <f>SUBTOTAL(9,E8:E13)</f>
        <v>637</v>
      </c>
      <c r="F14" s="1147">
        <f>IF(ISNUMBER(E14/B14),E14/B14," - ")</f>
        <v>159.25</v>
      </c>
      <c r="G14" s="1146">
        <f>SUBTOTAL(9,G8:G13)</f>
        <v>639</v>
      </c>
      <c r="H14" s="1147">
        <f>IF(ISNUMBER(G14/B14),G14/B14," - ")</f>
        <v>159.75</v>
      </c>
      <c r="I14" s="1146">
        <f>SUBTOTAL(9,I8:I13)</f>
        <v>2754</v>
      </c>
      <c r="J14" s="1147">
        <f>IF(ISNUMBER(I14/B14),I14/B14," - ")</f>
        <v>688.5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1768</v>
      </c>
      <c r="D17" s="452">
        <f>IF(ISNUMBER(C17/Datos!BH17),C17/Datos!BH17," - ")</f>
        <v>442</v>
      </c>
      <c r="E17" s="451">
        <f>IF(ISNUMBER(IF(D_I="SI",Datos!J17,Datos!J17+Datos!AD17)),IF(D_I="SI",Datos!J17,Datos!J17+Datos!AD17)," - ")</f>
        <v>1414</v>
      </c>
      <c r="F17" s="452">
        <f>IF(ISNUMBER(E17/B17),E17/B17," - ")</f>
        <v>353.5</v>
      </c>
      <c r="G17" s="451">
        <f>IF(ISNUMBER(IF(D_I="SI",Datos!K17,Datos!K17+Datos!AE17)),IF(D_I="SI",Datos!K17,Datos!K17+Datos!AE17)," - ")</f>
        <v>1095</v>
      </c>
      <c r="H17" s="452">
        <f>IF(ISNUMBER(G17/B17),G17/B17," - ")</f>
        <v>273.75</v>
      </c>
      <c r="I17" s="451">
        <f>IF(ISNUMBER(IF(D_I="SI",Datos!L17,Datos!L17+Datos!AF17)),IF(D_I="SI",Datos!L17,Datos!L17+Datos!AF17)," - ")</f>
        <v>2099</v>
      </c>
      <c r="J17" s="452">
        <f>IF(ISNUMBER(I17/B17),I17/B17," - ")</f>
        <v>524.75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243</v>
      </c>
      <c r="D18" s="452">
        <f>IF(ISNUMBER(C18/Datos!BH18),C18/Datos!BH18," - ")</f>
        <v>243</v>
      </c>
      <c r="E18" s="451">
        <f>IF(ISNUMBER(IF(D_I="SI",Datos!J18,Datos!J18+Datos!AD18)),IF(D_I="SI",Datos!J18,Datos!J18+Datos!AD18)," - ")</f>
        <v>71</v>
      </c>
      <c r="F18" s="452">
        <f>IF(ISNUMBER(E18/B18),E18/B18," - ")</f>
        <v>71</v>
      </c>
      <c r="G18" s="451">
        <f>IF(ISNUMBER(IF(D_I="SI",Datos!K18,Datos!K18+Datos!AE18)),IF(D_I="SI",Datos!K18,Datos!K18+Datos!AE18)," - ")</f>
        <v>34</v>
      </c>
      <c r="H18" s="452">
        <f>IF(ISNUMBER(G18/B18),G18/B18," - ")</f>
        <v>34</v>
      </c>
      <c r="I18" s="451">
        <f>IF(ISNUMBER(IF(D_I="SI",Datos!L18,Datos!L18+Datos!AF18)),IF(D_I="SI",Datos!L18,Datos!L18+Datos!AF18)," - ")</f>
        <v>280</v>
      </c>
      <c r="J18" s="452">
        <f>IF(ISNUMBER(I18/B18),I18/B18," - ")</f>
        <v>280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2011</v>
      </c>
      <c r="D23" s="1147" t="str">
        <f>IF(ISNUMBER(C23/Datos!BI23),C23/Datos!BI23," - ")</f>
        <v xml:space="preserve"> - </v>
      </c>
      <c r="E23" s="1146">
        <f>SUBTOTAL(9,E15:E22)</f>
        <v>1485</v>
      </c>
      <c r="F23" s="1147">
        <f>IF(ISNUMBER(E23/B23),E23/B23," - ")</f>
        <v>371.25</v>
      </c>
      <c r="G23" s="1146">
        <f>SUBTOTAL(9,G15:G22)</f>
        <v>1129</v>
      </c>
      <c r="H23" s="1147">
        <f>IF(ISNUMBER(G23/B23),G23/B23," - ")</f>
        <v>282.25</v>
      </c>
      <c r="I23" s="1146">
        <f>SUBTOTAL(9,I15:I22)</f>
        <v>2379</v>
      </c>
      <c r="J23" s="1147">
        <f>IF(ISNUMBER(I23/B23),I23/B23," - ")</f>
        <v>594.75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4766</v>
      </c>
      <c r="D31" s="1085" t="str">
        <f>IF(ISNUMBER(C31/Datos!BI31),C31/Datos!BI31," - ")</f>
        <v xml:space="preserve"> - </v>
      </c>
      <c r="E31" s="1084">
        <f>SUBTOTAL(9,E9:E30)</f>
        <v>2122</v>
      </c>
      <c r="F31" s="1085">
        <f>IF(ISNUMBER(E31/B31),E31/B31," - ")</f>
        <v>530.5</v>
      </c>
      <c r="G31" s="1084">
        <f>SUBTOTAL(9,G9:G30)</f>
        <v>1768</v>
      </c>
      <c r="H31" s="1085">
        <f>IF(ISNUMBER(G31/B31),G31/B31," - ")</f>
        <v>442</v>
      </c>
      <c r="I31" s="1084">
        <f>SUBTOTAL(9,I9:I30)</f>
        <v>5133</v>
      </c>
      <c r="J31" s="1085">
        <f>IF(ISNUMBER(I31/B31),I31/B31," - ")</f>
        <v>1283.25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6MZiRUfpiWmqvp6xMAm4onwxlljRiBQCzLQVB5EADGbiufLfz2zzlO9RsN9v56MyR35Wk7mdrXGiVOM/WrlfA==" saltValue="9iPo1TG417VRddnGBeEE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CUENCA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196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8.5101721439749607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3.9797395079594787E-3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145</v>
      </c>
      <c r="AE14" s="1257">
        <f t="shared" si="1"/>
        <v>0</v>
      </c>
      <c r="AF14" s="1257">
        <f t="shared" si="1"/>
        <v>35</v>
      </c>
      <c r="AG14" s="1257">
        <f t="shared" si="1"/>
        <v>0</v>
      </c>
      <c r="AH14" s="1257">
        <f t="shared" si="1"/>
        <v>2775</v>
      </c>
      <c r="AI14" s="1257">
        <f t="shared" si="1"/>
        <v>0</v>
      </c>
      <c r="AJ14" s="1257">
        <f t="shared" si="1"/>
        <v>0</v>
      </c>
      <c r="AK14" s="1257">
        <f t="shared" si="1"/>
        <v>0</v>
      </c>
      <c r="AL14" s="1257">
        <f t="shared" si="1"/>
        <v>106</v>
      </c>
      <c r="AM14" s="1257">
        <f t="shared" si="1"/>
        <v>196</v>
      </c>
      <c r="AN14" s="1257">
        <f t="shared" si="1"/>
        <v>0</v>
      </c>
      <c r="AO14" s="1257">
        <f t="shared" si="1"/>
        <v>0</v>
      </c>
      <c r="AP14" s="1262">
        <f>IF(ISNUMBER(((Datos!L14/Datos!K14)*11)/factor_trimestre),((Datos!L14/Datos!K14)*11)/factor_trimestre," - ")</f>
        <v>8.7147766323024047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3.9797395079594787E-3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4.2143489813994686</v>
      </c>
      <c r="AQ23" s="1262">
        <f>IF(ISNUMBER(((Datos!M23/Datos!L23)*11)/factor_trimestre),((Datos!M23/Datos!L23)*11)/factor_trimestre," - ")</f>
        <v>5.380411937788987E-2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-8.8128772635814895E-2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145</v>
      </c>
      <c r="AE31" s="1284">
        <f t="shared" si="9"/>
        <v>0</v>
      </c>
      <c r="AF31" s="1285">
        <f t="shared" si="9"/>
        <v>35</v>
      </c>
      <c r="AG31" s="1285">
        <f t="shared" si="9"/>
        <v>0</v>
      </c>
      <c r="AH31" s="1285">
        <f t="shared" si="9"/>
        <v>2775</v>
      </c>
      <c r="AI31" s="1285">
        <f t="shared" si="9"/>
        <v>0</v>
      </c>
      <c r="AJ31" s="1286">
        <f t="shared" si="9"/>
        <v>0</v>
      </c>
      <c r="AK31" s="1286">
        <f t="shared" si="9"/>
        <v>0</v>
      </c>
      <c r="AL31" s="1278">
        <f t="shared" si="9"/>
        <v>106</v>
      </c>
      <c r="AM31" s="1278">
        <f t="shared" si="9"/>
        <v>196</v>
      </c>
      <c r="AN31" s="1278">
        <f t="shared" si="9"/>
        <v>0</v>
      </c>
      <c r="AO31" s="1278">
        <f t="shared" si="9"/>
        <v>0</v>
      </c>
      <c r="AP31" s="1278">
        <f>IF(ISNUMBER(((Datos!L31/Datos!K31)*11)/factor_trimestre),((Datos!L31/Datos!K31)*11)/factor_trimestre," - ")</f>
        <v>5.7451782583284627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3.6532713384257723E-3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54.738164626398159</v>
      </c>
      <c r="AM33" s="1006"/>
      <c r="AN33" s="1006">
        <f>IF(ISNUMBER(STDEV(AN8:AN30)),STDEV(AN8:AN30),"-")</f>
        <v>0</v>
      </c>
      <c r="AO33" s="1012">
        <f>IF(ISNUMBER(STDEV(AO8:AO30)),STDEV(AO8:AO30),"-")</f>
        <v>0</v>
      </c>
      <c r="AP33" s="1065">
        <f>IF(ISNUMBER(STDEV(AP8:AP30)),STDEV(AP8:AP30),"-")</f>
        <v>2.5413188400833522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s7JCrOKLVQtu3E693X4w+ZXXbW2gLYs9elYaYimXecX1yeWCqSrZ7akWiu2JAi2LJ0/V8pGLkW8SOT/3cHgaQ==" saltValue="87NfLwD3E4qewU8yL9yl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CUENCA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RNvboMCCDv2UNL6bcXzY3N9uC9ZQMsm8ss1I1FD5sGgc83PbsK4mDqc7CbRAJltce7aGDe8h+35YSteTomd7A==" saltValue="JthgmWxO+ovNjzphKqG7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CUENCA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106</v>
      </c>
      <c r="E12" s="452">
        <f t="shared" si="0"/>
        <v>26.5</v>
      </c>
      <c r="F12" s="451">
        <f>IF(ISNUMBER(Datos!N12),Datos!N12," - ")</f>
        <v>196</v>
      </c>
      <c r="G12" s="452">
        <f t="shared" si="1"/>
        <v>49</v>
      </c>
      <c r="H12" s="451">
        <f>IF(ISNUMBER(Datos!O12),Datos!O12," - ")</f>
        <v>433</v>
      </c>
      <c r="I12" s="452">
        <f t="shared" si="2"/>
        <v>108.25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106</v>
      </c>
      <c r="E14" s="1147">
        <f t="shared" si="0"/>
        <v>21.2</v>
      </c>
      <c r="F14" s="1146">
        <f>SUBTOTAL(9,F9:F13)</f>
        <v>196</v>
      </c>
      <c r="G14" s="1147">
        <f t="shared" si="1"/>
        <v>39.200000000000003</v>
      </c>
      <c r="H14" s="1146">
        <f>SUBTOTAL(9,H9:H13)</f>
        <v>433</v>
      </c>
      <c r="I14" s="1147">
        <f>IF(ISNUMBER(H14/B14),H14/B14," - ")</f>
        <v>86.6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63</v>
      </c>
      <c r="E17" s="452">
        <f t="shared" si="3"/>
        <v>15.75</v>
      </c>
      <c r="F17" s="451">
        <f>IF(ISNUMBER(Datos!N17),Datos!N17," - ")</f>
        <v>807</v>
      </c>
      <c r="G17" s="452">
        <f t="shared" si="4"/>
        <v>201.75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64</v>
      </c>
      <c r="E23" s="1147">
        <f t="shared" si="3"/>
        <v>12.8</v>
      </c>
      <c r="F23" s="1146">
        <f>SUBTOTAL(9,F16:F22)</f>
        <v>845</v>
      </c>
      <c r="G23" s="1147">
        <f t="shared" si="4"/>
        <v>169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170</v>
      </c>
      <c r="E31" s="1085">
        <f>IF(ISNUMBER(D31/B31),D31/B31," - ")</f>
        <v>42.5</v>
      </c>
      <c r="F31" s="1084">
        <f>SUBTOTAL(9,F8:F30)</f>
        <v>1041</v>
      </c>
      <c r="G31" s="1085">
        <f>IF(ISNUMBER(F31/B31),F31/B31," - ")</f>
        <v>260.25</v>
      </c>
      <c r="H31" s="1084">
        <f>SUBTOTAL(9,H8:H30)</f>
        <v>433</v>
      </c>
      <c r="I31" s="1085">
        <f>IF(ISNUMBER(H31/B31),H31/B31," - ")</f>
        <v>108.25</v>
      </c>
    </row>
    <row r="34" spans="1:1">
      <c r="A34" s="439" t="str">
        <f>Criterios!A4</f>
        <v>Fecha Informe: 06 may. 2023</v>
      </c>
    </row>
    <row r="39" spans="1:1">
      <c r="A39" s="462"/>
    </row>
  </sheetData>
  <sheetProtection algorithmName="SHA-512" hashValue="kolymPPit9uB01OmtCUaJB0J0wA4R+1Vm02WB2L8/qYuwONAoFacfelrQPLW2L/piF+v4Dy2jzulnorAVbIXhg==" saltValue="atIL0FF4yyn5SXTlPYjJ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CUENCA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156</v>
      </c>
      <c r="C12" s="489">
        <f>IF(ISNUMBER(Datos!Q12),Datos!Q12," - ")</f>
        <v>145</v>
      </c>
      <c r="D12" s="456">
        <f>IF(ISNUMBER(Datos!R12),Datos!R12," - ")</f>
        <v>2775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145</v>
      </c>
      <c r="D14" s="1148">
        <f>SUBTOTAL(9,D9:D13)</f>
        <v>2779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24</v>
      </c>
      <c r="D17" s="456">
        <f>IF(ISNUMBER(Datos!R17),Datos!R17," - ")</f>
        <v>233</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24</v>
      </c>
      <c r="D23" s="1148">
        <f>SUBTOTAL(9,D16:D22)</f>
        <v>243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180</v>
      </c>
      <c r="C31" s="1089">
        <f>SUBTOTAL(9,C8:C30)</f>
        <v>169</v>
      </c>
      <c r="D31" s="1090">
        <f>SUBTOTAL(9,D8:D30)</f>
        <v>3022</v>
      </c>
    </row>
    <row r="32" spans="1:4" ht="7.5" customHeight="1"/>
    <row r="33" spans="1:1" ht="6" customHeight="1"/>
    <row r="34" spans="1:1">
      <c r="A34" s="439" t="str">
        <f>Criterios!A4</f>
        <v>Fecha Informe: 06 may. 2023</v>
      </c>
    </row>
    <row r="39" spans="1:1">
      <c r="A39" s="462"/>
    </row>
  </sheetData>
  <sheetProtection algorithmName="SHA-512" hashValue="TX9bfMl/bJ7oEGAv2ofp/pchVnUkKSeeVCdhiaQdu51NXS3SbLRWDMA6X9etGjMyxgAYYPljx5G6Wz5srCZsNw==" saltValue="2vCVNEQdiQeCHYKENRIq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CUENCA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0.29629629629629628</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0.10817405449369663</v>
      </c>
      <c r="C12" s="515">
        <f>IF(ISNUMBER(
   IF(J_V="SI",(Datos!J12-Datos!T12)/Datos!T12,(Datos!J12+Datos!Z12-(Datos!T12+Datos!AH12))/(Datos!T12+Datos!AH12))
     ),IF(J_V="SI",(Datos!J12-Datos!T12)/Datos!T12,(Datos!J12+Datos!Z12-(Datos!T12+Datos!AH12))/(Datos!T12+Datos!AH12))," - ")</f>
        <v>0.23921568627450981</v>
      </c>
      <c r="D12" s="515">
        <f>IF(ISNUMBER(
   IF(J_V="SI",(Datos!K12-Datos!U12)/Datos!U12,(Datos!K12+Datos!AA12-(Datos!U12+Datos!AI12))/(Datos!U12+Datos!AI12))
     ),IF(J_V="SI",(Datos!K12-Datos!U12)/Datos!U12,(Datos!K12+Datos!AA12-(Datos!U12+Datos!AI12))/(Datos!U12+Datos!AI12))," - ")</f>
        <v>0.22179732313575526</v>
      </c>
      <c r="E12" s="515">
        <f>IF(ISNUMBER(
   IF(J_V="SI",(Datos!L12-Datos!V12)/Datos!V12,(Datos!L12+Datos!AB12-(Datos!V12+Datos!AJ12))/(Datos!V12+Datos!AJ12))
     ),IF(J_V="SI",(Datos!L12-Datos!V12)/Datos!V12,(Datos!L12+Datos!AB12-(Datos!V12+Datos!AJ12))/(Datos!V12+Datos!AJ12))," - ")</f>
        <v>0.1116107931316435</v>
      </c>
      <c r="F12" s="515">
        <f>IF(ISNUMBER((Datos!M12-Datos!W12)/Datos!W12),(Datos!M12-Datos!W12)/Datos!W12," - ")</f>
        <v>-0.2318840579710145</v>
      </c>
      <c r="G12" s="516">
        <f>IF(ISNUMBER((Datos!N12-Datos!X12)/Datos!X12),(Datos!N12-Datos!X12)/Datos!X12," - ")</f>
        <v>0.13294797687861271</v>
      </c>
      <c r="H12" s="514">
        <f>IF(ISNUMBER(((NºAsuntos!G12/NºAsuntos!E12)-Datos!BD12)/Datos!BD12),((NºAsuntos!G12/NºAsuntos!E12)-Datos!BD12)/Datos!BD12," - ")</f>
        <v>-1.405595759614672E-2</v>
      </c>
      <c r="I12" s="515">
        <f>IF(ISNUMBER(((NºAsuntos!I12/NºAsuntos!G12)-Datos!BE12)/Datos!BE12),((NºAsuntos!I12/NºAsuntos!G12)-Datos!BE12)/Datos!BE12," - ")</f>
        <v>-9.0183967436855222E-2</v>
      </c>
      <c r="J12" s="521">
        <f>IF(ISNUMBER((('Resol  Asuntos'!D12/NºAsuntos!G12)-Datos!BF12)/Datos!BF12),(('Resol  Asuntos'!D12/NºAsuntos!G12)-Datos!BF12)/Datos!BF12," - ")</f>
        <v>-0.49851194514550373</v>
      </c>
      <c r="K12" s="522">
        <f>IF(ISNUMBER((((NºAsuntos!C12+NºAsuntos!E12)/NºAsuntos!G12)-Datos!BG12)/Datos!BG12),(((NºAsuntos!C12+NºAsuntos!E12)/NºAsuntos!G12)-Datos!BG12)/Datos!BG12," - ")</f>
        <v>-7.4573408792261917E-2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0.10954490535642368</v>
      </c>
      <c r="C14" s="1152">
        <f>IF(ISNUMBER(
   IF(J_V="SI",(Datos!J14-Datos!T14)/Datos!T14,(Datos!J14+Datos!Z14-(Datos!T14+Datos!AH14))/(Datos!T14+Datos!AH14))
     ),IF(J_V="SI",(Datos!J14-Datos!T14)/Datos!T14,(Datos!J14+Datos!Z14-(Datos!T14+Datos!AH14))/(Datos!T14+Datos!AH14))," - ")</f>
        <v>0.24171539961013644</v>
      </c>
      <c r="D14" s="1152">
        <f>IF(ISNUMBER(
   IF(J_V="SI",(Datos!K14-Datos!U14)/Datos!U14,(Datos!K14+Datos!AA14-(Datos!U14+Datos!AI14))/(Datos!U14+Datos!AI14))
     ),IF(J_V="SI",(Datos!K14-Datos!U14)/Datos!U14,(Datos!K14+Datos!AA14-(Datos!U14+Datos!AI14))/(Datos!U14+Datos!AI14))," - ")</f>
        <v>0.22179732313575526</v>
      </c>
      <c r="E14" s="1152">
        <f>IF(ISNUMBER(
   IF(J_V="SI",(Datos!L14-Datos!V14)/Datos!V14,(Datos!L14+Datos!AB14-(Datos!V14+Datos!AJ14))/(Datos!V14+Datos!AJ14))
     ),IF(J_V="SI",(Datos!L14-Datos!V14)/Datos!V14,(Datos!L14+Datos!AB14-(Datos!V14+Datos!AJ14))/(Datos!V14+Datos!AJ14))," - ")</f>
        <v>0.11362717347351395</v>
      </c>
      <c r="F14" s="1153">
        <f>IF(ISNUMBER((Datos!M14-Datos!W14)/Datos!W14),(Datos!M14-Datos!W14)/Datos!W14," - ")</f>
        <v>-0.2318840579710145</v>
      </c>
      <c r="G14" s="1154">
        <f>IF(ISNUMBER((Datos!N14-Datos!X14)/Datos!X14),(Datos!N14-Datos!X14)/Datos!X14," - ")</f>
        <v>0.13294797687861271</v>
      </c>
      <c r="H14" s="1154">
        <f>IF(ISNUMBER(((NºAsuntos!G14/NºAsuntos!E14)-Datos!BD14)/Datos!BD14),((NºAsuntos!G14/NºAsuntos!E14)-Datos!BD14)/Datos!BD14," - ")</f>
        <v>-1.6040774303544125E-2</v>
      </c>
      <c r="I14" s="1154">
        <f>IF(ISNUMBER(((NºAsuntos!I14/NºAsuntos!G14)-Datos!BE14)/Datos!BE14),((NºAsuntos!I14/NºAsuntos!G14)-Datos!BE14)/Datos!BE14," - ")</f>
        <v>-8.8533627970817264E-2</v>
      </c>
      <c r="J14" s="1154">
        <f>IF(ISNUMBER((('Resol  Asuntos'!D14/NºAsuntos!G14)-Datos!BF14)/Datos!BF14),(('Resol  Asuntos'!D14/NºAsuntos!G14)-Datos!BF14)/Datos!BF14," - ")</f>
        <v>-0.49851194514550373</v>
      </c>
      <c r="K14" s="1154">
        <f>IF(ISNUMBER((((NºAsuntos!C14+NºAsuntos!E14)/NºAsuntos!G14)-Datos!BG14)/Datos!BG14),(((NºAsuntos!C14+NºAsuntos!E14)/NºAsuntos!G14)-Datos!BG14)/Datos!BG14," - ")</f>
        <v>-7.3351845235483437E-2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-9.2868137506413539E-2</v>
      </c>
      <c r="C17" s="515">
        <f>IF(ISNUMBER(
   IF(D_I="SI",(Datos!J17-Datos!T17)/Datos!T17,(Datos!J17+Datos!AD17-(Datos!T17+Datos!AL17))/(Datos!T17+Datos!AL17))
     ),IF(D_I="SI",(Datos!J17-Datos!T17)/Datos!T17,(Datos!J17+Datos!AD17-(Datos!T17+Datos!AL17))/(Datos!T17+Datos!AL17))," - ")</f>
        <v>0.26816143497757849</v>
      </c>
      <c r="D17" s="515">
        <f>IF(ISNUMBER(
   IF(D_I="SI",(Datos!K17-Datos!U17)/Datos!U17,(Datos!K17+Datos!AE17-(Datos!U17+Datos!AM17))/(Datos!U17+Datos!AM17))
     ),IF(D_I="SI",(Datos!K17-Datos!U17)/Datos!U17,(Datos!K17+Datos!AE17-(Datos!U17+Datos!AM17))/(Datos!U17+Datos!AM17))," - ")</f>
        <v>5.7971014492753624E-2</v>
      </c>
      <c r="E17" s="515">
        <f>IF(ISNUMBER(
   IF(D_I="SI",(Datos!L17-Datos!V17)/Datos!V17,(Datos!L17+Datos!AF17-(Datos!V17+Datos!AN17))/(Datos!V17+Datos!AN17))
     ),IF(D_I="SI",(Datos!L17-Datos!V17)/Datos!V17,(Datos!L17+Datos!AF17-(Datos!V17+Datos!AN17))/(Datos!V17+Datos!AN17))," - ")</f>
        <v>0.16935933147632312</v>
      </c>
      <c r="F17" s="515">
        <f>IF(ISNUMBER((Datos!M17-Datos!W17)/Datos!W17),(Datos!M17-Datos!W17)/Datos!W17," - ")</f>
        <v>-0.20253164556962025</v>
      </c>
      <c r="G17" s="516">
        <f>IF(ISNUMBER((Datos!N17-Datos!X17)/Datos!X17),(Datos!N17-Datos!X17)/Datos!X17," - ")</f>
        <v>0.16618497109826588</v>
      </c>
      <c r="H17" s="514">
        <f>IF(ISNUMBER(((NºAsuntos!G17/NºAsuntos!E17)-Datos!BD17)/Datos!BD17),((NºAsuntos!G17/NºAsuntos!E17)-Datos!BD17)/Datos!BD17," - ")</f>
        <v>-0.16574421417297006</v>
      </c>
      <c r="I17" s="515">
        <f>IF(ISNUMBER(((NºAsuntos!I17/NºAsuntos!G17)-Datos!BE17)/Datos!BE17),((NºAsuntos!I17/NºAsuntos!G17)-Datos!BE17)/Datos!BE17," - ")</f>
        <v>0.10528484755981235</v>
      </c>
      <c r="J17" s="521">
        <f>IF(ISNUMBER((('Resol  Asuntos'!D17/NºAsuntos!G17)-Datos!BF17)/Datos!BF17),(('Resol  Asuntos'!D17/NºAsuntos!G17)-Datos!BF17)/Datos!BF17," - ")</f>
        <v>-0.24622854170279176</v>
      </c>
      <c r="K17" s="522">
        <f>IF(ISNUMBER((((NºAsuntos!C17+NºAsuntos!E17)/NºAsuntos!G17)-Datos!BG17)/Datos!BG17),(((NºAsuntos!C17+NºAsuntos!E17)/NºAsuntos!G17)-Datos!BG17)/Datos!BG17," - ")</f>
        <v>-1.8393004041632407E-2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-0.2334384858044164</v>
      </c>
      <c r="C18" s="515">
        <f>IF(ISNUMBER(
   IF(D_I="SI",(Datos!J18-Datos!T18)/Datos!T18,(Datos!J18+Datos!AD18-(Datos!T18+Datos!AL18))/(Datos!T18+Datos!AL18))
     ),IF(D_I="SI",(Datos!J18-Datos!T18)/Datos!T18,(Datos!J18+Datos!AD18-(Datos!T18+Datos!AL18))/(Datos!T18+Datos!AL18))," - ")</f>
        <v>0.36538461538461536</v>
      </c>
      <c r="D18" s="515">
        <f>IF(ISNUMBER(
   IF(D_I="SI",(Datos!K18-Datos!U18)/Datos!U18,(Datos!K18+Datos!AE18-(Datos!U18+Datos!AM18))/(Datos!U18+Datos!AM18))
     ),IF(D_I="SI",(Datos!K18-Datos!U18)/Datos!U18,(Datos!K18+Datos!AE18-(Datos!U18+Datos!AM18))/(Datos!U18+Datos!AM18))," - ")</f>
        <v>0.36</v>
      </c>
      <c r="E18" s="515">
        <f>IF(ISNUMBER(
   IF(D_I="SI",(Datos!L18-Datos!V18)/Datos!V18,(Datos!L18+Datos!AF18-(Datos!V18+Datos!AN18))/(Datos!V18+Datos!AN18))
     ),IF(D_I="SI",(Datos!L18-Datos!V18)/Datos!V18,(Datos!L18+Datos!AF18-(Datos!V18+Datos!AN18))/(Datos!V18+Datos!AN18))," - ")</f>
        <v>1.0289855072463767</v>
      </c>
      <c r="F18" s="515">
        <f>IF(ISNUMBER((Datos!M18-Datos!W18)/Datos!W18),(Datos!M18-Datos!W18)/Datos!W18," - ")</f>
        <v>-0.66666666666666663</v>
      </c>
      <c r="G18" s="516">
        <f>IF(ISNUMBER((Datos!N18-Datos!X18)/Datos!X18),(Datos!N18-Datos!X18)/Datos!X18," - ")</f>
        <v>0.72727272727272729</v>
      </c>
      <c r="H18" s="514">
        <f>IF(ISNUMBER(((NºAsuntos!G18/NºAsuntos!E18)-Datos!BD18)/Datos!BD18),((NºAsuntos!G18/NºAsuntos!E18)-Datos!BD18)/Datos!BD18," - ")</f>
        <v>-3.943661971831069E-3</v>
      </c>
      <c r="I18" s="515">
        <f>IF(ISNUMBER(((NºAsuntos!I18/NºAsuntos!G18)-Datos!BE18)/Datos!BE18),((NºAsuntos!I18/NºAsuntos!G18)-Datos!BE18)/Datos!BE18," - ")</f>
        <v>0.4919011082693947</v>
      </c>
      <c r="J18" s="521">
        <f>IF(ISNUMBER((('Resol  Asuntos'!D18/NºAsuntos!G18)-Datos!BF18)/Datos!BF18),(('Resol  Asuntos'!D18/NºAsuntos!G18)-Datos!BF18)/Datos!BF18," - ")</f>
        <v>-0.75490196078431371</v>
      </c>
      <c r="K18" s="522">
        <f>IF(ISNUMBER((((NºAsuntos!C18+NºAsuntos!E18)/NºAsuntos!G18)-Datos!BG18)/Datos!BG18),(((NºAsuntos!C18+NºAsuntos!E18)/NºAsuntos!G18)-Datos!BG18)/Datos!BG18," - ")</f>
        <v>-0.37430256655507738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-0.11253309796999117</v>
      </c>
      <c r="C23" s="1152">
        <f>IF(ISNUMBER(
   IF(Criterios!B14="SI",(Datos!J23-Datos!T23)/Datos!T23,(Datos!J23+Datos!AD23-(Datos!T23+Datos!AL23))/(Datos!T23+Datos!AL23))
     ),IF(Criterios!B14="SI",(Datos!J23-Datos!T23)/Datos!T23,(Datos!J23+Datos!AD23-(Datos!T23+Datos!AL23))/(Datos!T23+Datos!AL23))," - ")</f>
        <v>0.27249357326478146</v>
      </c>
      <c r="D23" s="1152">
        <f>IF(ISNUMBER(
   IF(Criterios!B14="SI",(Datos!K23-Datos!U23)/Datos!U23,(Datos!K23+Datos!AE23-(Datos!U23+Datos!AM23))/(Datos!U23+Datos!AM23))
     ),IF(Criterios!B14="SI",(Datos!K23-Datos!U23)/Datos!U23,(Datos!K23+Datos!AE23-(Datos!U23+Datos!AM23))/(Datos!U23+Datos!AM23))," - ")</f>
        <v>6.5094339622641509E-2</v>
      </c>
      <c r="E23" s="1152">
        <f>IF(ISNUMBER(
   IF(Criterios!B14="SI",(Datos!L23-Datos!V23)/Datos!V23,(Datos!L23+Datos!AF23-(Datos!V23+Datos!AN23))/(Datos!V23+Datos!AN23))
     ),IF(Criterios!B14="SI",(Datos!L23-Datos!V23)/Datos!V23,(Datos!L23+Datos!AF23-(Datos!V23+Datos!AN23))/(Datos!V23+Datos!AN23))," - ")</f>
        <v>0.23072943610967409</v>
      </c>
      <c r="F23" s="1153">
        <f>IF(ISNUMBER((Datos!M23-Datos!W23)/Datos!W23),(Datos!M23-Datos!W23)/Datos!W23," - ")</f>
        <v>-0.21951219512195122</v>
      </c>
      <c r="G23" s="1154">
        <f>IF(ISNUMBER((Datos!N23-Datos!X23)/Datos!X23),(Datos!N23-Datos!X23)/Datos!X23," - ")</f>
        <v>0.18347338935574228</v>
      </c>
      <c r="H23" s="1154">
        <f>IF(ISNUMBER(((NºAsuntos!G23/NºAsuntos!E23)-Datos!BD23)/Datos!BD23),((NºAsuntos!G23/NºAsuntos!E23)-Datos!BD23)/Datos!BD23," - ")</f>
        <v>-0.16298646845816653</v>
      </c>
      <c r="I23" s="1154">
        <f>IF(ISNUMBER(((NºAsuntos!I23/NºAsuntos!G23)-Datos!BE23)/Datos!BE23),((NºAsuntos!I23/NºAsuntos!G23)-Datos!BE23)/Datos!BE23," - ")</f>
        <v>0.15551213664858676</v>
      </c>
      <c r="J23" s="1154">
        <f>IF(ISNUMBER((('Resol  Asuntos'!D23/NºAsuntos!G23)-Datos!BF23)/Datos!BF23),(('Resol  Asuntos'!D23/NºAsuntos!G23)-Datos!BF23)/Datos!BF23," - ")</f>
        <v>-0.26721251269200019</v>
      </c>
      <c r="K23" s="1154">
        <f>IF(ISNUMBER((((NºAsuntos!C23+NºAsuntos!E23)/NºAsuntos!G23)-Datos!BG23)/Datos!BG23),(((NºAsuntos!C23+NºAsuntos!E23)/NºAsuntos!G23)-Datos!BG23)/Datos!BG23," - ")</f>
        <v>-4.3886294050580185E-2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3.5797009896820385E-3</v>
      </c>
      <c r="C31" s="1092">
        <f>IF(ISNUMBER(
   IF(J_V="SI",(Datos!J31-Datos!T31)/Datos!T31,(Datos!J31+Datos!Z31-(Datos!T31+Datos!AH31))/(Datos!T31+Datos!AH31))
     ),IF(J_V="SI",(Datos!J31-Datos!T31)/Datos!T31,(Datos!J31+Datos!Z31-(Datos!T31+Datos!AH31))/(Datos!T31+Datos!AH31))," - ")</f>
        <v>0.2630952380952381</v>
      </c>
      <c r="D31" s="1092">
        <f>IF(ISNUMBER(
   IF(J_V="SI",(Datos!K31-Datos!U31)/Datos!U31,(Datos!K31+Datos!AA31-(Datos!U31+Datos!AI31))/(Datos!U31+Datos!AI31))
     ),IF(J_V="SI",(Datos!K31-Datos!U31)/Datos!U31,(Datos!K31+Datos!AA31-(Datos!U31+Datos!AI31))/(Datos!U31+Datos!AI31))," - ")</f>
        <v>0.11686670878079596</v>
      </c>
      <c r="E31" s="1092">
        <f>IF(ISNUMBER(
   IF(J_V="SI",(Datos!L31-Datos!V31)/Datos!V31,(Datos!L31+Datos!AB31-(Datos!V31+Datos!AJ31))/(Datos!V31+Datos!AJ31))
     ),IF(J_V="SI",(Datos!L31-Datos!V31)/Datos!V31,(Datos!L31+Datos!AB31-(Datos!V31+Datos!AJ31))/(Datos!V31+Datos!AJ31))," - ")</f>
        <v>0.16500226963231956</v>
      </c>
      <c r="F31" s="1093">
        <f>IF(ISNUMBER((Datos!M31-Datos!W31)/Datos!W31),(Datos!M31-Datos!W31)/Datos!W31," - ")</f>
        <v>-0.22727272727272727</v>
      </c>
      <c r="G31" s="1094">
        <f>IF(ISNUMBER((Datos!N31-Datos!X31)/Datos!X31),(Datos!N31-Datos!X31)/Datos!X31," - ")</f>
        <v>0.17361894024802707</v>
      </c>
      <c r="H31" s="1095">
        <f>IF(ISNUMBER((Tasas!B31-Datos!BD31)/Datos!BD31),(Tasas!B31-Datos!BD31)/Datos!BD31," - ")</f>
        <v>-0.11576999493320585</v>
      </c>
      <c r="I31" s="1096">
        <f>IF(ISNUMBER((Tasas!C31-Datos!BE31)/Datos!BE31),(Tasas!C31-Datos!BE31)/Datos!BE31," - ")</f>
        <v>4.3098751599525885E-2</v>
      </c>
      <c r="J31" s="1097">
        <f>IF(ISNUMBER((Tasas!D31-Datos!BF31)/Datos!BF31),(Tasas!D31-Datos!BF31)/Datos!BF31," - ")</f>
        <v>-0.4030920060331824</v>
      </c>
      <c r="K31" s="1097">
        <f>IF(ISNUMBER((Tasas!E31-Datos!BG31)/Datos!BG31),(Tasas!E31-Datos!BG31)/Datos!BG31," - ")</f>
        <v>-4.0713424534895341E-2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c5SY86uHIGd5WKj3+woU7uBXc7m45tBkwlrzP5tp8SgP+3zUwI7bQobAbIgmFEFp2fUbdYGsYE4Y0yjraoUlw==" saltValue="swBwuxmuiGQ84mdsCi5b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CUENCA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1.0110759493670887</v>
      </c>
      <c r="C12" s="498">
        <f>IF(ISNUMBER(NºAsuntos!I12/NºAsuntos!G12),NºAsuntos!I12/NºAsuntos!G12," - ")</f>
        <v>4.2550860719874803</v>
      </c>
      <c r="D12" s="499">
        <f>IF(ISNUMBER('Resol  Asuntos'!D12/NºAsuntos!G12),'Resol  Asuntos'!D12/NºAsuntos!G12," - ")</f>
        <v>0.16588419405320814</v>
      </c>
      <c r="E12" s="500">
        <f>IF(ISNUMBER((NºAsuntos!C12+NºAsuntos!E12)/NºAsuntos!G12),(NºAsuntos!C12+NºAsuntos!E12)/NºAsuntos!G12," - ")</f>
        <v>5.253521126760563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1.0031397174254317</v>
      </c>
      <c r="C14" s="1156">
        <f>IF(ISNUMBER(NºAsuntos!I14/NºAsuntos!G14),NºAsuntos!I14/NºAsuntos!G14," - ")</f>
        <v>4.3098591549295771</v>
      </c>
      <c r="D14" s="1157">
        <f>IF(ISNUMBER('Resol  Asuntos'!D14/NºAsuntos!G14),'Resol  Asuntos'!D14/NºAsuntos!G14," - ")</f>
        <v>0.16588419405320814</v>
      </c>
      <c r="E14" s="1158">
        <f>IF(ISNUMBER((NºAsuntos!C14+NºAsuntos!E14)/NºAsuntos!G14),(NºAsuntos!C14+NºAsuntos!E14)/NºAsuntos!G14," - ")</f>
        <v>5.3082942097026606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0.77439886845827444</v>
      </c>
      <c r="C17" s="498">
        <f>IF(ISNUMBER(NºAsuntos!I17/NºAsuntos!G17),NºAsuntos!I17/NºAsuntos!G17," - ")</f>
        <v>1.9168949771689499</v>
      </c>
      <c r="D17" s="499">
        <f>IF(ISNUMBER('Resol  Asuntos'!D17/NºAsuntos!G17),'Resol  Asuntos'!D17/NºAsuntos!G17," - ")</f>
        <v>5.7534246575342465E-2</v>
      </c>
      <c r="E17" s="500">
        <f>IF(ISNUMBER((NºAsuntos!C17+NºAsuntos!E17)/NºAsuntos!G17),(NºAsuntos!C17+NºAsuntos!E17)/NºAsuntos!G17," - ")</f>
        <v>2.9059360730593609</v>
      </c>
      <c r="G17" s="523"/>
    </row>
    <row r="18" spans="1:7">
      <c r="A18" s="450" t="str">
        <f>Datos!A18</f>
        <v>Jdos. Violencia contra la mujer</v>
      </c>
      <c r="B18" s="497">
        <f>IF(ISNUMBER(NºAsuntos!G18/NºAsuntos!E18),NºAsuntos!G18/NºAsuntos!E18," - ")</f>
        <v>0.47887323943661969</v>
      </c>
      <c r="C18" s="498">
        <f>IF(ISNUMBER(NºAsuntos!I18/NºAsuntos!G18),NºAsuntos!I18/NºAsuntos!G18," - ")</f>
        <v>8.235294117647058</v>
      </c>
      <c r="D18" s="499">
        <f>IF(ISNUMBER('Resol  Asuntos'!D18/NºAsuntos!G18),'Resol  Asuntos'!D18/NºAsuntos!G18," - ")</f>
        <v>2.9411764705882353E-2</v>
      </c>
      <c r="E18" s="500">
        <f>IF(ISNUMBER((NºAsuntos!C18+NºAsuntos!E18)/NºAsuntos!G18),(NºAsuntos!C18+NºAsuntos!E18)/NºAsuntos!G18," - ")</f>
        <v>9.235294117647058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0.76026936026936032</v>
      </c>
      <c r="C23" s="1156">
        <f>IF(ISNUMBER(NºAsuntos!I23/NºAsuntos!G23),NºAsuntos!I23/NºAsuntos!G23," - ")</f>
        <v>2.1071744906997343</v>
      </c>
      <c r="D23" s="1159">
        <f>IF(ISNUMBER('Resol  Asuntos'!D23/NºAsuntos!G23),'Resol  Asuntos'!D23/NºAsuntos!G23," - ")</f>
        <v>5.6687333923826397E-2</v>
      </c>
      <c r="E23" s="1158">
        <f>IF(ISNUMBER((NºAsuntos!C23+NºAsuntos!E23)/NºAsuntos!G23),(NºAsuntos!C23+NºAsuntos!E23)/NºAsuntos!G23," - ")</f>
        <v>3.096545615589017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0.83317624882186614</v>
      </c>
      <c r="C31" s="1099">
        <f>IF(ISNUMBER(NºAsuntos!I31/NºAsuntos!G31),NºAsuntos!I31/NºAsuntos!G31," - ")</f>
        <v>2.9032805429864252</v>
      </c>
      <c r="D31" s="1100">
        <f>IF(ISNUMBER('Resol  Asuntos'!D31/NºAsuntos!G31),'Resol  Asuntos'!D31/NºAsuntos!G31," - ")</f>
        <v>9.6153846153846159E-2</v>
      </c>
      <c r="E31" s="1101">
        <f>IF(ISNUMBER((NºAsuntos!C31+NºAsuntos!E31)/NºAsuntos!G31),(NºAsuntos!C31+NºAsuntos!E31)/NºAsuntos!G31," - ")</f>
        <v>3.8959276018099547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SgDqZfqYe4cgDWkjiX6vN20lP2K2RCxeDNgu3pGxKykT6i0ebYJWYtnjM1+G6dm3XokYI00flEURs1fz68scA==" saltValue="GvgtfN+B1yKNNw0QrHUm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CUENCA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35</v>
      </c>
      <c r="AB10" s="374">
        <f>IF(ISNUMBER(Datos!R10),Datos!R10," - ")</f>
        <v>4</v>
      </c>
      <c r="AC10" s="374">
        <f t="shared" ref="AC10:AC13" si="1">IF(ISNUMBER(AA10+AB10),AA10+AB10," - ")</f>
        <v>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145</v>
      </c>
      <c r="Y12" s="374">
        <f t="shared" si="0"/>
        <v>145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1.0110759493670887</v>
      </c>
      <c r="AM12" s="284">
        <f>IF(ISNUMBER(((NºAsuntos!I12/NºAsuntos!G12)*11)/factor_trimestre),((NºAsuntos!I12/NºAsuntos!G12)*11)/factor_trimestre," - ")</f>
        <v>8.5101721439749607</v>
      </c>
      <c r="AN12" s="267">
        <f>IF(ISNUMBER('Resol  Asuntos'!D12/NºAsuntos!G12),'Resol  Asuntos'!D12/NºAsuntos!G12," - ")</f>
        <v>0.16588419405320814</v>
      </c>
      <c r="AO12" s="268">
        <f>IF(ISNUMBER((NºAsuntos!C12+NºAsuntos!E12)/NºAsuntos!G12),(NºAsuntos!C12+NºAsuntos!E12)/NºAsuntos!G12," - ")</f>
        <v>5.253521126760563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145</v>
      </c>
      <c r="Y14" s="1165">
        <f t="shared" si="6"/>
        <v>145</v>
      </c>
      <c r="Z14" s="1165">
        <f t="shared" si="6"/>
        <v>0</v>
      </c>
      <c r="AA14" s="1165">
        <f t="shared" si="6"/>
        <v>35</v>
      </c>
      <c r="AB14" s="1165">
        <f t="shared" si="6"/>
        <v>2779</v>
      </c>
      <c r="AC14" s="1165">
        <f t="shared" si="6"/>
        <v>39</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1.0031397174254317</v>
      </c>
      <c r="AM14" s="1171">
        <f>IF(ISNUMBER(((NºAsuntos!I14/NºAsuntos!G14)*11)/factor_trimestre),((NºAsuntos!I14/NºAsuntos!G14)*11)/factor_trimestre," - ")</f>
        <v>8.6197183098591541</v>
      </c>
      <c r="AN14" s="1172">
        <f>IF(ISNUMBER('Resol  Asuntos'!D14/NºAsuntos!G14),'Resol  Asuntos'!D14/NºAsuntos!G14," - ")</f>
        <v>0.16588419405320814</v>
      </c>
      <c r="AO14" s="1173">
        <f>IF(ISNUMBER((NºAsuntos!C14+NºAsuntos!E14)/NºAsuntos!G14),(NºAsuntos!C14+NºAsuntos!E14)/NºAsuntos!G14," - ")</f>
        <v>5.3082942097026606</v>
      </c>
      <c r="AP14" s="1174" t="str">
        <f t="shared" si="2"/>
        <v xml:space="preserve"> - </v>
      </c>
      <c r="AQ14" s="1174">
        <f>IF(ISNUMBER((H14-W14+K14)/(F14)),(H14-W14+K14)/(F14)," - ")</f>
        <v>0</v>
      </c>
      <c r="AR14" s="1175">
        <f>IF(ISNUMBER((Datos!P14-Datos!Q14)/(Datos!R14-Datos!P14+Datos!Q14)),(Datos!P14-Datos!Q14)/(Datos!R14-Datos!P14+Datos!Q14)," - ")</f>
        <v>3.9739884393063581E-3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1780</v>
      </c>
      <c r="G17" s="373">
        <f>IF(ISNUMBER(IF(D_I="SI",Datos!I17,Datos!I17+Datos!AC17)),IF(D_I="SI",Datos!I17,Datos!I17+Datos!AC17)," - ")</f>
        <v>1768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1095</v>
      </c>
      <c r="X17" s="240">
        <f>IF(ISNUMBER(Datos!Q17),Datos!Q17," - ")</f>
        <v>24</v>
      </c>
      <c r="Y17" s="374">
        <f t="shared" ref="Y17:Y22" si="9">SUM(W17:X17)</f>
        <v>1119</v>
      </c>
      <c r="Z17" s="375" t="str">
        <f>IF(ISNUMBER(Datos!CC17),Datos!CC17," - ")</f>
        <v xml:space="preserve"> - </v>
      </c>
      <c r="AA17" s="372">
        <f>IF(ISNUMBER(IF(D_I="SI",Datos!L17,Datos!L17+Datos!AF17)),IF(D_I="SI",Datos!L17,Datos!L17+Datos!AF17)," - ")</f>
        <v>2099</v>
      </c>
      <c r="AB17" s="374">
        <f>IF(ISNUMBER(Datos!R17),Datos!R17," - ")</f>
        <v>233</v>
      </c>
      <c r="AC17" s="374">
        <f t="shared" si="8"/>
        <v>2332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0.77439886845827444</v>
      </c>
      <c r="AM17" s="284">
        <f>IF(ISNUMBER(((NºAsuntos!I17/NºAsuntos!G17)*11)/factor_trimestre),((NºAsuntos!I17/NºAsuntos!G17)*11)/factor_trimestre," - ")</f>
        <v>3.8337899543378997</v>
      </c>
      <c r="AN17" s="267">
        <f>IF(ISNUMBER('Resol  Asuntos'!D17/NºAsuntos!G17),'Resol  Asuntos'!D17/NºAsuntos!G17," - ")</f>
        <v>5.7534246575342465E-2</v>
      </c>
      <c r="AO17" s="268">
        <f>IF(ISNUMBER((NºAsuntos!C17+NºAsuntos!E17)/NºAsuntos!G17),(NºAsuntos!C17+NºAsuntos!E17)/NºAsuntos!G17," - ")</f>
        <v>2.9059360730593609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280</v>
      </c>
      <c r="AB18" s="374">
        <f>IF(ISNUMBER(Datos!R18),Datos!R18," - ")</f>
        <v>10</v>
      </c>
      <c r="AC18" s="374">
        <f t="shared" si="8"/>
        <v>290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0.47887323943661969</v>
      </c>
      <c r="AM18" s="284">
        <f>IF(ISNUMBER(((NºAsuntos!I18/NºAsuntos!G18)*11)/factor_trimestre),((NºAsuntos!I18/NºAsuntos!G18)*11)/factor_trimestre," - ")</f>
        <v>16.470588235294116</v>
      </c>
      <c r="AN18" s="267">
        <f>IF(ISNUMBER('Resol  Asuntos'!D18/NºAsuntos!G18),'Resol  Asuntos'!D18/NºAsuntos!G18," - ")</f>
        <v>2.9411764705882353E-2</v>
      </c>
      <c r="AO18" s="268">
        <f>IF(ISNUMBER((NºAsuntos!C18+NºAsuntos!E18)/NºAsuntos!G18),(NºAsuntos!C18+NºAsuntos!E18)/NºAsuntos!G18," - ")</f>
        <v>9.235294117647058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1780</v>
      </c>
      <c r="G23" s="1163">
        <f>SUBTOTAL(9,G16:G22)</f>
        <v>2011</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1129</v>
      </c>
      <c r="X23" s="1164">
        <f t="shared" si="14"/>
        <v>24</v>
      </c>
      <c r="Y23" s="1165">
        <f t="shared" si="14"/>
        <v>1153</v>
      </c>
      <c r="Z23" s="1165">
        <f t="shared" si="14"/>
        <v>0</v>
      </c>
      <c r="AA23" s="1165">
        <f t="shared" si="14"/>
        <v>2379</v>
      </c>
      <c r="AB23" s="1165">
        <f t="shared" si="14"/>
        <v>243</v>
      </c>
      <c r="AC23" s="1165">
        <f t="shared" si="14"/>
        <v>2622</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0.76026936026936032</v>
      </c>
      <c r="AM23" s="1171">
        <f>IF(ISNUMBER(((NºAsuntos!I23/NºAsuntos!G23)*11)/factor_trimestre),((NºAsuntos!I23/NºAsuntos!G23)*11)/factor_trimestre," - ")</f>
        <v>4.2143489813994686</v>
      </c>
      <c r="AN23" s="1172">
        <f>IF(ISNUMBER('Resol  Asuntos'!D23/NºAsuntos!G23),'Resol  Asuntos'!D23/NºAsuntos!G23," - ")</f>
        <v>5.6687333923826397E-2</v>
      </c>
      <c r="AO23" s="1173">
        <f>IF(ISNUMBER((NºAsuntos!C23+NºAsuntos!E23)/NºAsuntos!G23),(NºAsuntos!C23+NºAsuntos!E23)/NºAsuntos!G23," - ")</f>
        <v>3.096545615589017</v>
      </c>
      <c r="AP23" s="1174" t="str">
        <f t="shared" si="2"/>
        <v xml:space="preserve"> - </v>
      </c>
      <c r="AQ23" s="1174">
        <f>IF(ISNUMBER((H23-W23+K23)/(F23)),(H23-W23+K23)/(F23)," - ")</f>
        <v>-0.63426966292134834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1810</v>
      </c>
      <c r="G31" s="1118">
        <f t="shared" si="20"/>
        <v>2041</v>
      </c>
      <c r="H31" s="1117">
        <f t="shared" si="20"/>
        <v>0</v>
      </c>
      <c r="I31" s="1119">
        <f t="shared" si="20"/>
        <v>0</v>
      </c>
      <c r="J31" s="1119">
        <f t="shared" si="20"/>
        <v>0</v>
      </c>
      <c r="K31" s="1180">
        <f t="shared" si="20"/>
        <v>0</v>
      </c>
      <c r="L31" s="1119">
        <f t="shared" si="20"/>
        <v>180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1129</v>
      </c>
      <c r="X31" s="1118">
        <f t="shared" si="21"/>
        <v>169</v>
      </c>
      <c r="Y31" s="1125">
        <f t="shared" si="21"/>
        <v>1298</v>
      </c>
      <c r="Z31" s="1125">
        <f t="shared" si="21"/>
        <v>0</v>
      </c>
      <c r="AA31" s="1125">
        <f t="shared" si="21"/>
        <v>2414</v>
      </c>
      <c r="AB31" s="1125">
        <f t="shared" si="21"/>
        <v>3022</v>
      </c>
      <c r="AC31" s="1125">
        <f t="shared" si="21"/>
        <v>2661</v>
      </c>
      <c r="AD31" s="1125">
        <f t="shared" si="21"/>
        <v>0</v>
      </c>
      <c r="AE31" s="1127">
        <f t="shared" si="21"/>
        <v>0</v>
      </c>
      <c r="AF31" s="1128">
        <f t="shared" si="21"/>
        <v>0</v>
      </c>
      <c r="AG31" s="1129">
        <f t="shared" si="21"/>
        <v>0</v>
      </c>
      <c r="AH31" s="1127">
        <f t="shared" si="21"/>
        <v>0</v>
      </c>
      <c r="AI31" s="1117">
        <f t="shared" si="21"/>
        <v>170</v>
      </c>
      <c r="AJ31" s="1117">
        <f t="shared" si="21"/>
        <v>0</v>
      </c>
      <c r="AK31" s="1127">
        <f t="shared" si="21"/>
        <v>0</v>
      </c>
      <c r="AL31" s="1183">
        <f>IF(ISNUMBER(NºAsuntos!G31/NºAsuntos!E31),NºAsuntos!G31/NºAsuntos!E31," - ")</f>
        <v>0.83317624882186614</v>
      </c>
      <c r="AM31" s="1184">
        <f>IF(ISNUMBER(((NºAsuntos!I31/NºAsuntos!G31)*11)/factor_trimestre),((NºAsuntos!I31/NºAsuntos!G31)*11)/factor_trimestre," - ")</f>
        <v>5.8065610859728505</v>
      </c>
      <c r="AN31" s="1184">
        <f>IF(ISNUMBER('Resol  Asuntos'!D31/NºAsuntos!G31),'Resol  Asuntos'!D31/NºAsuntos!G31," - ")</f>
        <v>9.6153846153846159E-2</v>
      </c>
      <c r="AO31" s="1185">
        <f>IF(ISNUMBER((NºAsuntos!C31+NºAsuntos!E31)/NºAsuntos!G31),(NºAsuntos!C31+NºAsuntos!E31)/NºAsuntos!G31," - ")</f>
        <v>3.8959276018099547</v>
      </c>
      <c r="AP31" s="1186" t="str">
        <f t="shared" si="2"/>
        <v xml:space="preserve"> - </v>
      </c>
      <c r="AQ31" s="1187">
        <f>IF(OR(ISNUMBER(FIND("01",Criterios!A8,1)),ISNUMBER(FIND("02",Criterios!A8,1)),ISNUMBER(FIND("03",Criterios!A8,1)),ISNUMBER(FIND("04",Criterios!A8,1))),(I31-W31+K31)/(F31-K31),(H31-W31+K31)/(F31-K31))</f>
        <v>-0.62375690607734802</v>
      </c>
      <c r="AR31" s="1188">
        <f>IF(ISNUMBER((Datos!P31-Datos!Q31)/(Datos!R31-Datos!P31+Datos!Q31)),(Datos!P31-Datos!Q31)/(Datos!R31-Datos!P31+Datos!Q31)," - ")</f>
        <v>3.6532713384257723E-3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911.54082007700936</v>
      </c>
      <c r="G33" s="277">
        <f>IF(ISNUMBER(STDEV(G8:G30)),STDEV(G8:G30),"-")</f>
        <v>899.11112189974028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539.51455252008941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47.940439237513395</v>
      </c>
      <c r="AJ33" s="276">
        <f t="shared" si="25"/>
        <v>0</v>
      </c>
      <c r="AK33" s="278">
        <f t="shared" si="25"/>
        <v>0</v>
      </c>
      <c r="AL33" s="273">
        <f t="shared" si="25"/>
        <v>0.3825655409072003</v>
      </c>
      <c r="AM33" s="274">
        <f t="shared" si="25"/>
        <v>5.0877318919281072</v>
      </c>
      <c r="AN33" s="274">
        <f t="shared" si="25"/>
        <v>6.5617195394487071E-2</v>
      </c>
      <c r="AO33" s="275">
        <f t="shared" si="25"/>
        <v>2.5484018359041092</v>
      </c>
      <c r="AP33" s="317" t="str">
        <f t="shared" si="25"/>
        <v>-</v>
      </c>
      <c r="AQ33" s="318">
        <f t="shared" si="25"/>
        <v>0.44849637975259116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3FRg/XAMRmCwsafmNe1fZ0UkJSMdJc/1NZVnWwXM9VlqkR6MuNdOk2a8dIGW1qDu/yCpXETbCpmhLVfg8MCbw==" saltValue="zwFTKnq1nZb2PMDhayBH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CUENCA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0.29629629629629628</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-0.2318840579710145</v>
      </c>
      <c r="I12" s="395">
        <f>IF(ISNUMBER((Tasas!C12-Datos!BE12)/Datos!BE12),(Tasas!C12-Datos!BE12)/Datos!BE12," - ")</f>
        <v>-9.0183967436855222E-2</v>
      </c>
      <c r="J12" s="394">
        <f>IF(ISNUMBER((Tasas!D12-Datos!BF12)/Datos!BF12),(Tasas!D12-Datos!BF12)/Datos!BF12," - ")</f>
        <v>-0.49851194514550373</v>
      </c>
      <c r="K12" s="396">
        <f>IF(ISNUMBER((Tasas!E12-Datos!BG12)/Datos!BG12),(Tasas!E12-Datos!BG12)/Datos!BG12," - ")</f>
        <v>-7.4573408792261917E-2</v>
      </c>
      <c r="M12" t="e">
        <f>IF(Monitorios="SI",Datos!CE12,0)</f>
        <v>#REF!</v>
      </c>
      <c r="N12" t="e">
        <f>IF(Monitorios="SI",Datos!CF12,0)</f>
        <v>#REF!</v>
      </c>
      <c r="O12" t="e">
        <f>IF(Monitorios="SI",Datos!CG12,0)</f>
        <v>#REF!</v>
      </c>
      <c r="P12" t="e">
        <f>IF(Monitorios="SI",Datos!CH12,0)</f>
        <v>#REF!</v>
      </c>
      <c r="Q12">
        <f>IF(J_V="SI",0,Datos!AG12)</f>
        <v>179</v>
      </c>
      <c r="R12">
        <f>IF(J_V="SI",0,Datos!AH12)</f>
        <v>63</v>
      </c>
      <c r="S12">
        <f>IF(J_V="SI",0,Datos!AI12)</f>
        <v>56</v>
      </c>
      <c r="T12">
        <f>IF(J_V="SI",0,Datos!AJ12)</f>
        <v>186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-0.2318840579710145</v>
      </c>
      <c r="I14" s="402">
        <f>IF(ISNUMBER((Tasas!C14-Datos!BE14)/Datos!BE14),(Tasas!C14-Datos!BE14)/Datos!BE14," - ")</f>
        <v>-8.8533627970817264E-2</v>
      </c>
      <c r="J14" s="400">
        <f>IF(ISNUMBER((Tasas!D14-Datos!BF14)/Datos!BF14),(Tasas!D14-Datos!BF14)/Datos!BF14," - ")</f>
        <v>-0.49851194514550373</v>
      </c>
      <c r="K14" s="403">
        <f>IF(ISNUMBER((Tasas!E14-Datos!BG14)/Datos!BG14),(Tasas!E14-Datos!BG14)/Datos!BG14," - ")</f>
        <v>-7.3351845235483437E-2</v>
      </c>
      <c r="M14" t="e">
        <f>IF(Monitorios="SI",Datos!CE14,0)</f>
        <v>#REF!</v>
      </c>
      <c r="N14" t="e">
        <f>IF(Monitorios="SI",Datos!CF14,0)</f>
        <v>#REF!</v>
      </c>
      <c r="O14" t="e">
        <f>IF(Monitorios="SI",Datos!CG14,0)</f>
        <v>#REF!</v>
      </c>
      <c r="P14" t="e">
        <f>IF(Monitorios="SI",Datos!CH14,0)</f>
        <v>#REF!</v>
      </c>
      <c r="Q14">
        <f>IF(J_V="SI",0,Datos!AG14)</f>
        <v>179</v>
      </c>
      <c r="R14">
        <f>IF(J_V="SI",0,Datos!AH14)</f>
        <v>63</v>
      </c>
      <c r="S14">
        <f>IF(J_V="SI",0,Datos!AI14)</f>
        <v>56</v>
      </c>
      <c r="T14">
        <f>IF(J_V="SI",0,Datos!AJ14)</f>
        <v>186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-9.2868137506413539E-2</v>
      </c>
      <c r="E17" s="393">
        <f>IF(ISNUMBER(
   IF(D_I="SI",(Datos!J17-Datos!T17)/Datos!T17,(Datos!J17+Datos!AD17-(Datos!T17+Datos!AL17))/(Datos!T17+Datos!AL17))
     ),IF(D_I="SI",(Datos!J17-Datos!T17)/Datos!T17,(Datos!J17+Datos!AD17-(Datos!T17+Datos!AL17))/(Datos!T17+Datos!AL17))," - ")</f>
        <v>0.26816143497757849</v>
      </c>
      <c r="F17" s="393">
        <f>IF(ISNUMBER(
   IF(D_I="SI",(Datos!K17-Datos!U17)/Datos!U17,(Datos!K17+Datos!AE17-(Datos!U17+Datos!AM17))/(Datos!U17+Datos!AM17))
     ),IF(D_I="SI",(Datos!K17-Datos!U17)/Datos!U17,(Datos!K17+Datos!AE17-(Datos!U17+Datos!AM17))/(Datos!U17+Datos!AM17))," - ")</f>
        <v>5.7971014492753624E-2</v>
      </c>
      <c r="G17" s="394">
        <f>IF(ISNUMBER(
   IF(D_I="SI",(Datos!L17-Datos!V17)/Datos!V17,(Datos!L17+Datos!AF17-(Datos!V17+Datos!AN17))/(Datos!V17+Datos!AN17))
     ),IF(D_I="SI",(Datos!L17-Datos!V17)/Datos!V17,(Datos!L17+Datos!AF17-(Datos!V17+Datos!AN17))/(Datos!V17+Datos!AN17))," - ")</f>
        <v>0.16935933147632312</v>
      </c>
      <c r="H17" s="244">
        <f>IF(ISNUMBER((Datos!M17-Datos!W17)/Datos!W17),(Datos!M17-Datos!W17)/Datos!W17," - ")</f>
        <v>-0.20253164556962025</v>
      </c>
      <c r="I17" s="395">
        <f>IF(ISNUMBER((Tasas!C17-Datos!BE17)/Datos!BE17),(Tasas!C17-Datos!BE17)/Datos!BE17," - ")</f>
        <v>0.10528484755981235</v>
      </c>
      <c r="J17" s="394">
        <f>IF(ISNUMBER((Tasas!D17-Datos!BF17)/Datos!BF17),(Tasas!D17-Datos!BF17)/Datos!BF17," - ")</f>
        <v>-0.24622854170279176</v>
      </c>
      <c r="K17" s="396">
        <f>IF(ISNUMBER((Tasas!E17-Datos!BG17)/Datos!BG17),(Tasas!E17-Datos!BG17)/Datos!BG17," - ")</f>
        <v>-1.8393004041632407E-2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-0.2334384858044164</v>
      </c>
      <c r="E18" s="393">
        <f>IF(ISNUMBER(
   IF(D_I="SI",(Datos!J18-Datos!T18)/Datos!T18,(Datos!J18+Datos!AD18-(Datos!T18+Datos!AL18))/(Datos!T18+Datos!AL18))
     ),IF(D_I="SI",(Datos!J18-Datos!T18)/Datos!T18,(Datos!J18+Datos!AD18-(Datos!T18+Datos!AL18))/(Datos!T18+Datos!AL18))," - ")</f>
        <v>0.36538461538461536</v>
      </c>
      <c r="F18" s="393">
        <f>IF(ISNUMBER(
   IF(D_I="SI",(Datos!K18-Datos!U18)/Datos!U18,(Datos!K18+Datos!AE18-(Datos!U18+Datos!AM18))/(Datos!U18+Datos!AM18))
     ),IF(D_I="SI",(Datos!K18-Datos!U18)/Datos!U18,(Datos!K18+Datos!AE18-(Datos!U18+Datos!AM18))/(Datos!U18+Datos!AM18))," - ")</f>
        <v>0.36</v>
      </c>
      <c r="G18" s="394">
        <f>IF(ISNUMBER(
   IF(D_I="SI",(Datos!L18-Datos!V18)/Datos!V18,(Datos!L18+Datos!AF18-(Datos!V18+Datos!AN18))/(Datos!V18+Datos!AN18))
     ),IF(D_I="SI",(Datos!L18-Datos!V18)/Datos!V18,(Datos!L18+Datos!AF18-(Datos!V18+Datos!AN18))/(Datos!V18+Datos!AN18))," - ")</f>
        <v>1.0289855072463767</v>
      </c>
      <c r="H18" s="244">
        <f>IF(ISNUMBER((Datos!M18-Datos!W18)/Datos!W18),(Datos!M18-Datos!W18)/Datos!W18," - ")</f>
        <v>-0.66666666666666663</v>
      </c>
      <c r="I18" s="395">
        <f>IF(ISNUMBER((Tasas!C18-Datos!BE18)/Datos!BE18),(Tasas!C18-Datos!BE18)/Datos!BE18," - ")</f>
        <v>0.4919011082693947</v>
      </c>
      <c r="J18" s="394">
        <f>IF(ISNUMBER((Tasas!D18-Datos!BF18)/Datos!BF18),(Tasas!D18-Datos!BF18)/Datos!BF18," - ")</f>
        <v>-0.75490196078431371</v>
      </c>
      <c r="K18" s="396">
        <f>IF(ISNUMBER((Tasas!E18-Datos!BG18)/Datos!BG18),(Tasas!E18-Datos!BG18)/Datos!BG18," - ")</f>
        <v>-0.37430256655507738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-0.11253309796999117</v>
      </c>
      <c r="E23" s="399">
        <f>IF(ISNUMBER(
   IF(D_I="SI",(Datos!J23-Datos!T23)/Datos!T23,(Datos!J23+Datos!AD23-(Datos!T23+Datos!AL23))/(Datos!T23+Datos!AL23))
     ),IF(D_I="SI",(Datos!J23-Datos!T23)/Datos!T23,(Datos!J23+Datos!AD23-(Datos!T23+Datos!AL23))/(Datos!T23+Datos!AL23))," - ")</f>
        <v>0.27249357326478146</v>
      </c>
      <c r="F23" s="399">
        <f>IF(ISNUMBER(
   IF(D_I="SI",(Datos!K23-Datos!U23)/Datos!U23,(Datos!K23+Datos!AE23-(Datos!U23+Datos!AM23))/(Datos!U23+Datos!AM23))
     ),IF(D_I="SI",(Datos!K23-Datos!U23)/Datos!U23,(Datos!K23+Datos!AE23-(Datos!U23+Datos!AM23))/(Datos!U23+Datos!AM23))," - ")</f>
        <v>6.5094339622641509E-2</v>
      </c>
      <c r="G23" s="400">
        <f>IF(ISNUMBER(
   IF(D_I="SI",(Datos!L23-Datos!V23)/Datos!V23,(Datos!L23+Datos!AF23-(Datos!V23+Datos!AN23))/(Datos!V23+Datos!AN23))
     ),IF(D_I="SI",(Datos!L23-Datos!V23)/Datos!V23,(Datos!L23+Datos!AF23-(Datos!V23+Datos!AN23))/(Datos!V23+Datos!AN23))," - ")</f>
        <v>0.23072943610967409</v>
      </c>
      <c r="H23" s="401">
        <f>IF(ISNUMBER((Datos!M23-Datos!W23)/Datos!W23),(Datos!M23-Datos!W23)/Datos!W23," - ")</f>
        <v>-0.21951219512195122</v>
      </c>
      <c r="I23" s="402">
        <f>IF(ISNUMBER((Tasas!C23-Datos!BE23)/Datos!BE23),(Tasas!C23-Datos!BE23)/Datos!BE23," - ")</f>
        <v>0.15551213664858676</v>
      </c>
      <c r="J23" s="400">
        <f>IF(ISNUMBER((Tasas!D23-Datos!BF23)/Datos!BF23),(Tasas!D23-Datos!BF23)/Datos!BF23," - ")</f>
        <v>-0.26721251269200019</v>
      </c>
      <c r="K23" s="403">
        <f>IF(ISNUMBER((Tasas!E23-Datos!BG23)/Datos!BG23),(Tasas!E23-Datos!BG23)/Datos!BG23," - ")</f>
        <v>-4.3886294050580185E-2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3.5797009896820385E-3</v>
      </c>
      <c r="E31" s="409">
        <f>IF(ISNUMBER(
   IF(J_V="SI",(Datos!J31-Datos!T31)/Datos!T31,(Datos!J31+Datos!Z31-(Datos!T31+Datos!AH31))/(Datos!T31+Datos!AH31))
     ),IF(J_V="SI",(Datos!J31-Datos!T31)/Datos!T31,(Datos!J31+Datos!Z31-(Datos!T31+Datos!AH31))/(Datos!T31+Datos!AH31))," - ")</f>
        <v>0.2630952380952381</v>
      </c>
      <c r="F31" s="409">
        <f>IF(ISNUMBER(
   IF(J_V="SI",(Datos!K31-Datos!U31)/Datos!U31,(Datos!K31+Datos!AA31-(Datos!U31+Datos!AI31))/(Datos!U31+Datos!AI31))
     ),IF(J_V="SI",(Datos!K31-Datos!U31)/Datos!U31,(Datos!K31+Datos!AA31-(Datos!U31+Datos!AI31))/(Datos!U31+Datos!AI31))," - ")</f>
        <v>0.11686670878079596</v>
      </c>
      <c r="G31" s="410">
        <f>IF(ISNUMBER(
   IF(J_V="SI",(Datos!L31-Datos!V31)/Datos!V31,(Datos!L31+Datos!AB31-(Datos!V31+Datos!AJ31))/(Datos!V31+Datos!AJ31))
     ),IF(J_V="SI",(Datos!L31-Datos!V31)/Datos!V31,(Datos!L31+Datos!AB31-(Datos!V31+Datos!AJ31))/(Datos!V31+Datos!AJ31))," - ")</f>
        <v>0.16500226963231956</v>
      </c>
      <c r="H31" s="411">
        <f>IF(ISNUMBER((Datos!M31-Datos!W31)/Datos!W31),(Datos!M31-Datos!W31)/Datos!W31," - ")</f>
        <v>-0.22727272727272727</v>
      </c>
      <c r="I31" s="408">
        <f>IF(ISNUMBER((Tasas!C31-Datos!BE31)/Datos!BE31),(Tasas!C31-Datos!BE31)/Datos!BE31," - ")</f>
        <v>4.3098751599525885E-2</v>
      </c>
      <c r="J31" s="409">
        <f>IF(ISNUMBER((Tasas!D31-Datos!BF31)/Datos!BF31),(Tasas!D31-Datos!BF31)/Datos!BF31," - ")</f>
        <v>-0.4030920060331824</v>
      </c>
      <c r="K31" s="410">
        <f>IF(ISNUMBER((Tasas!E31-Datos!BG31)/Datos!BG31),(Tasas!E31-Datos!BG31)/Datos!BG31," - ")</f>
        <v>-4.0713424534895341E-2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0.20765885940964002</v>
      </c>
      <c r="E33" s="303">
        <f t="shared" si="1"/>
        <v>0.18776083670612576</v>
      </c>
      <c r="F33" s="303">
        <f t="shared" si="1"/>
        <v>0.17235699307447533</v>
      </c>
      <c r="G33" s="304">
        <f t="shared" si="1"/>
        <v>0.40178577344913652</v>
      </c>
      <c r="H33" s="310">
        <f t="shared" si="1"/>
        <v>0.19946902844188083</v>
      </c>
      <c r="I33" s="302">
        <f t="shared" si="1"/>
        <v>0.23838847138038918</v>
      </c>
      <c r="J33" s="303">
        <f t="shared" si="1"/>
        <v>0.20770102774776866</v>
      </c>
      <c r="K33" s="304">
        <f t="shared" si="1"/>
        <v>0.14575552551693999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KVEkkkXtSc2UnlZ95jewnXwo0n1h4VddLKoZKT7M9zpHSR68nFU78GwRuXq8fcCFEuMqYvSi6K9w/Hd0LAQQ==" saltValue="jiooirX/zWaU59G0OT4O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